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7C165XI8fjwTlwZMCzOjNhuAzlnV7C3u4qWVDIKlogwlIkIlKuPHht1pMywaRM0PgjkdOqOX1hTlHkGusxSqlg==" workbookSaltValue="WYSAoHUZhqjkdfDiJuUq4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AE32" i="20"/>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U12" i="11"/>
  <c r="AU32" i="20"/>
  <c r="AZ32" i="20"/>
  <c r="G14" i="14"/>
  <c r="O18" i="11"/>
  <c r="R32" i="20"/>
  <c r="W32" i="20"/>
  <c r="F28" i="2" l="1"/>
  <c r="BF17" i="8"/>
  <c r="E23" i="12"/>
  <c r="BG17" i="13"/>
  <c r="R8" i="9"/>
  <c r="S10" i="14" s="1"/>
  <c r="V10" i="14" s="1"/>
  <c r="T17" i="11"/>
  <c r="AA10" i="16"/>
  <c r="S12" i="14"/>
  <c r="V12" i="14" s="1"/>
  <c r="S17" i="14"/>
  <c r="V17" i="14" s="1"/>
  <c r="R10" i="14"/>
  <c r="R17" i="14"/>
  <c r="R29" i="14"/>
  <c r="T21" i="11"/>
  <c r="T29" i="11"/>
  <c r="S9" i="14"/>
  <c r="V9" i="14" s="1"/>
  <c r="T20" i="11"/>
  <c r="X25" i="17"/>
  <c r="AA29" i="16"/>
  <c r="X22" i="17"/>
  <c r="X10" i="17"/>
  <c r="AA18" i="16"/>
  <c r="X16" i="17"/>
  <c r="X9" i="17"/>
  <c r="X11" i="17"/>
  <c r="T18" i="20"/>
  <c r="X18" i="20"/>
  <c r="X19" i="20"/>
  <c r="X20" i="20"/>
  <c r="AA12" i="21"/>
  <c r="V16" i="16"/>
  <c r="V19" i="16"/>
  <c r="T19" i="20"/>
  <c r="V16" i="20"/>
  <c r="V23" i="20" s="1"/>
  <c r="X25" i="16"/>
  <c r="X30" i="16" s="1"/>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BF23" i="13"/>
  <c r="X13" i="17"/>
  <c r="AA17" i="16"/>
  <c r="AA28" i="16"/>
  <c r="T18" i="11"/>
  <c r="S16" i="14"/>
  <c r="V16" i="14" s="1"/>
  <c r="T11" i="11"/>
  <c r="T25" i="11"/>
  <c r="T13" i="11"/>
  <c r="R19" i="14"/>
  <c r="R12" i="14"/>
  <c r="S29" i="14"/>
  <c r="V29" i="14" s="1"/>
  <c r="S19" i="14"/>
  <c r="V19" i="14" s="1"/>
  <c r="X17" i="17"/>
  <c r="AA25" i="16"/>
  <c r="S11" i="14"/>
  <c r="V11" i="14" s="1"/>
  <c r="V13" i="16"/>
  <c r="T12" i="11"/>
  <c r="BH30" i="16"/>
  <c r="S18" i="14"/>
  <c r="V18" i="14" s="1"/>
  <c r="T22" i="11"/>
  <c r="S28" i="14"/>
  <c r="V28" i="14" s="1"/>
  <c r="R18"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3" i="11"/>
  <c r="AO28" i="17"/>
  <c r="BW20" i="20"/>
  <c r="BV18" i="16"/>
  <c r="BU10" i="17"/>
  <c r="BW25" i="20"/>
  <c r="BW16" i="20"/>
  <c r="BW29" i="20"/>
  <c r="BV29" i="16"/>
  <c r="BV9" i="16"/>
  <c r="AZ17" i="11"/>
  <c r="BI20" i="11"/>
  <c r="AQ10" i="21"/>
  <c r="BL10" i="11"/>
  <c r="BI29" i="11"/>
  <c r="S18" i="17"/>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AP17" i="20"/>
  <c r="BL19" i="11"/>
  <c r="BJ22" i="11"/>
  <c r="BJ18" i="11"/>
  <c r="BG10" i="11"/>
  <c r="BM17" i="11"/>
  <c r="V11" i="16"/>
  <c r="BF21" i="11"/>
  <c r="V25" i="11"/>
  <c r="BF17" i="11"/>
  <c r="BF10" i="11"/>
  <c r="BL12" i="11"/>
  <c r="BK21" i="11"/>
  <c r="V11" i="11"/>
  <c r="BI25" i="11"/>
  <c r="BM12" i="11"/>
  <c r="V13" i="11"/>
  <c r="V9" i="11"/>
  <c r="BI19" i="11"/>
  <c r="BJ16" i="11"/>
  <c r="AP22" i="20"/>
  <c r="AP16" i="20"/>
  <c r="R25" i="14"/>
  <c r="BH13" i="11"/>
  <c r="V20" i="11"/>
  <c r="BL25" i="11"/>
  <c r="Q25" i="11" s="1"/>
  <c r="BH18" i="11"/>
  <c r="BG19" i="11"/>
  <c r="BM16" i="11"/>
  <c r="AZ9" i="11"/>
  <c r="BL29" i="11"/>
  <c r="BJ25" i="11"/>
  <c r="T16" i="16"/>
  <c r="AZ16" i="11"/>
  <c r="AZ23" i="11" s="1"/>
  <c r="AZ26" i="11" s="1"/>
  <c r="BU16" i="17"/>
  <c r="BV19" i="16"/>
  <c r="BW19" i="20"/>
  <c r="X20" i="16"/>
  <c r="BW18" i="20"/>
  <c r="BV12" i="16"/>
  <c r="BW12" i="20"/>
  <c r="BU22" i="17"/>
  <c r="BV16" i="16"/>
  <c r="U13" i="17"/>
  <c r="BU20" i="17"/>
  <c r="U10" i="17"/>
  <c r="BV10" i="16"/>
  <c r="BW22" i="20"/>
  <c r="BU18" i="17"/>
  <c r="V12" i="16"/>
  <c r="BW21" i="20"/>
  <c r="BU12" i="17"/>
  <c r="S28" i="17"/>
  <c r="T16" i="11"/>
  <c r="BG12" i="11"/>
  <c r="Q18" i="17"/>
  <c r="BH10" i="11"/>
  <c r="BI9" i="11"/>
  <c r="BL28" i="11"/>
  <c r="AO29" i="17"/>
  <c r="S10" i="17"/>
  <c r="BH10" i="16"/>
  <c r="BH11" i="11"/>
  <c r="BG17" i="11"/>
  <c r="Q17" i="11" s="1"/>
  <c r="BM21" i="11"/>
  <c r="BM9" i="11"/>
  <c r="Q9" i="11" s="1"/>
  <c r="AO25" i="17"/>
  <c r="BL17" i="11"/>
  <c r="X22" i="16"/>
  <c r="X10" i="21"/>
  <c r="V9" i="16"/>
  <c r="BH12" i="16"/>
  <c r="BK22" i="11"/>
  <c r="L22" i="2"/>
  <c r="S16" i="17"/>
  <c r="S17" i="17"/>
  <c r="X19" i="16"/>
  <c r="U9" i="17"/>
  <c r="U31" i="17" s="1"/>
  <c r="BJ17" i="11"/>
  <c r="BH22" i="11"/>
  <c r="X12" i="17"/>
  <c r="L12" i="2"/>
  <c r="L20" i="2"/>
  <c r="V10" i="16"/>
  <c r="X13" i="16"/>
  <c r="T28" i="11"/>
  <c r="T19" i="11"/>
  <c r="R22" i="14"/>
  <c r="S13" i="14"/>
  <c r="V13" i="14" s="1"/>
  <c r="R28" i="14"/>
  <c r="R11" i="14"/>
  <c r="S21" i="14"/>
  <c r="V21"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BJ23" i="11" l="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<sst xmlns="http://schemas.openxmlformats.org/spreadsheetml/2006/main" count="2682" uniqueCount="1193">
  <si>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</si>
  <si>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</si>
  <si>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</si>
  <si>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</si>
  <si>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</si>
  <si>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</si>
  <si>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</si>
  <si>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</si>
  <si>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</si>
  <si>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</si>
  <si>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</si>
  <si>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</si>
  <si>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</si>
  <si>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</si>
  <si>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</si>
  <si>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</si>
  <si>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</si>
  <si>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</si>
  <si>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</si>
  <si>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</si>
  <si>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</si>
  <si>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</si>
  <si>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</si>
  <si>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</si>
  <si>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</si>
  <si>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</si>
  <si>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</si>
  <si>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</si>
  <si>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</si>
  <si>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</si>
  <si>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</si>
  <si>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</si>
  <si>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</si>
  <si>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</si>
  <si>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</si>
  <si>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</si>
  <si>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</si>
  <si>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</si>
  <si>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</si>
  <si>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</si>
  <si>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</si>
  <si>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</si>
  <si>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</si>
  <si>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</si>
  <si>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</si>
  <si>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</si>
  <si>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</si>
  <si>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</si>
  <si>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</si>
  <si>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</si>
  <si>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</si>
  <si>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</si>
  <si>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</si>
  <si>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</si>
  <si>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</si>
  <si>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</si>
  <si>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</si>
  <si>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</si>
  <si>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</si>
  <si>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</si>
  <si>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</si>
  <si>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</si>
  <si>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</si>
  <si>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</si>
  <si>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</si>
  <si>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</si>
  <si>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</si>
  <si>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</si>
  <si>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</si>
  <si>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</si>
  <si>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</si>
  <si>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</si>
  <si>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</si>
  <si>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</si>
  <si>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</si>
  <si>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</si>
  <si>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</si>
  <si>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</si>
  <si>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</si>
  <si>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</si>
  <si>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</si>
  <si>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</si>
  <si>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</si>
  <si>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</si>
  <si>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</si>
  <si>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</si>
  <si>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</si>
  <si>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</si>
  <si>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</si>
  <si>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</si>
  <si>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</si>
  <si>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</si>
  <si>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</si>
  <si>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</si>
  <si>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</si>
  <si>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</si>
  <si>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</si>
  <si>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</si>
  <si>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</si>
  <si>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</si>
  <si>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</si>
  <si>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</si>
  <si>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</si>
  <si>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</si>
  <si>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</si>
  <si>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</si>
  <si>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</si>
  <si>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</si>
  <si>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</si>
  <si>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</si>
  <si>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</si>
  <si>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</si>
  <si>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</si>
  <si>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</si>
  <si>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</si>
  <si>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</si>
  <si>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</si>
  <si>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</si>
  <si>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</si>
  <si>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</si>
  <si>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</si>
  <si>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</si>
  <si>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</si>
  <si>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</si>
  <si>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</si>
  <si>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</si>
  <si>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</si>
  <si>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</si>
  <si>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</si>
  <si>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</si>
  <si>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</si>
  <si>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</si>
  <si>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</si>
  <si>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</si>
  <si>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</si>
  <si>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</si>
  <si>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</si>
  <si>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</si>
  <si>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</si>
  <si>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</si>
  <si>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</si>
  <si>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</si>
  <si>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</si>
  <si>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</si>
  <si>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</si>
  <si>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</si>
  <si>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</si>
  <si>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</si>
  <si>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</si>
  <si>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</si>
  <si>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</si>
  <si>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</si>
  <si>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</si>
  <si>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</si>
  <si>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</si>
  <si>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</si>
  <si>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</si>
  <si>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</si>
  <si>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</si>
  <si>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</si>
  <si>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</si>
  <si>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</si>
  <si>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</si>
  <si>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</si>
  <si>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</si>
  <si>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</si>
  <si>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</si>
  <si>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</si>
  <si>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</si>
  <si>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</si>
  <si>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</si>
  <si>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</si>
  <si>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</si>
  <si>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</si>
  <si>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</si>
  <si>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</si>
  <si>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</si>
  <si>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</si>
  <si>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</si>
  <si>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</si>
  <si>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</si>
  <si>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</si>
  <si>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</si>
  <si>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</si>
  <si>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</si>
  <si>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</si>
  <si>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</si>
  <si>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</si>
  <si>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</si>
  <si>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</si>
  <si>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</si>
  <si>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</si>
  <si>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</si>
  <si>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</si>
  <si>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</si>
  <si>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</si>
  <si>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</si>
  <si>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</si>
  <si>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</si>
  <si>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</si>
  <si>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</si>
  <si>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</si>
  <si>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</si>
  <si>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</si>
  <si>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</si>
  <si>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</si>
  <si>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</si>
  <si>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</si>
  <si>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</si>
  <si>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</si>
  <si>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</si>
  <si>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</si>
  <si>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</si>
  <si>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</si>
  <si>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</si>
  <si>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</si>
  <si>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</si>
  <si>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</si>
  <si>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</si>
  <si>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</si>
  <si>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</si>
  <si>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</si>
  <si>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</si>
  <si>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</si>
  <si>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</si>
  <si>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</si>
  <si>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</si>
  <si>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</si>
  <si>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</si>
  <si>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</si>
  <si>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</si>
  <si>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</si>
  <si>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</si>
  <si>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</si>
  <si>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</si>
  <si>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</si>
  <si>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</si>
  <si>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</si>
  <si>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</si>
  <si>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</si>
  <si>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</si>
  <si>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</si>
  <si>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</si>
  <si>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</si>
  <si>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</si>
  <si>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</si>
  <si>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</si>
  <si>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</si>
  <si>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</si>
  <si>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</si>
  <si>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</si>
  <si>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</si>
  <si>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</si>
  <si>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</si>
  <si>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</si>
  <si>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</si>
  <si>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</si>
  <si>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</si>
  <si>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</si>
  <si>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</si>
  <si>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</si>
  <si>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</si>
  <si>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</si>
  <si>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</si>
  <si>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</si>
  <si>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</si>
  <si>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</si>
  <si>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</si>
  <si>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</si>
  <si>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</si>
  <si>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</si>
  <si>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</si>
  <si>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</si>
  <si>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</si>
  <si>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</si>
  <si>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</si>
  <si>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</si>
  <si>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</si>
  <si>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</si>
  <si>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</si>
  <si>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</si>
  <si>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</si>
  <si>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</si>
  <si>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</si>
  <si>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</si>
  <si>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</si>
  <si>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</si>
  <si>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</si>
  <si>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</si>
  <si>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</si>
  <si>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</si>
  <si>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</si>
  <si>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</si>
  <si>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</si>
  <si>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</si>
  <si>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</si>
  <si>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</si>
  <si>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</si>
  <si>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</si>
  <si>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</si>
  <si>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</si>
  <si>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</si>
  <si>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</si>
  <si>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</si>
  <si>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</si>
  <si>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</si>
  <si>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</si>
  <si>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</si>
  <si>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</si>
  <si>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</si>
  <si>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</si>
  <si>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</si>
  <si>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</si>
  <si>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</si>
  <si>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</si>
  <si>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</si>
  <si>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</si>
  <si>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</si>
  <si>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</si>
  <si>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</si>
  <si>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</si>
  <si>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</si>
  <si>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</si>
  <si>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</si>
  <si>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</si>
  <si>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</si>
  <si>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</si>
  <si>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</si>
  <si>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</si>
  <si>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</si>
  <si>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</si>
  <si>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</si>
  <si>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</si>
  <si>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</si>
  <si>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</si>
  <si>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</si>
  <si>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</si>
  <si>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</si>
  <si>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</si>
  <si>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</si>
  <si>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</si>
  <si>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</si>
  <si>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</si>
  <si>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</si>
  <si>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</si>
  <si>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</si>
  <si>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</si>
  <si>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</si>
  <si>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</si>
  <si>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</si>
  <si>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</si>
  <si>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</si>
  <si>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</si>
  <si>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</si>
  <si>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</si>
  <si>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</si>
  <si>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</si>
  <si>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</si>
  <si>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</si>
  <si>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</si>
  <si>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</si>
  <si>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</si>
  <si>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</si>
  <si>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</si>
  <si>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</si>
  <si>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</si>
  <si>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</si>
  <si>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</si>
  <si>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</si>
  <si>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</si>
  <si>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</si>
  <si>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</si>
  <si>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</si>
  <si>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</si>
  <si>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</si>
  <si>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</si>
  <si>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</si>
  <si>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</si>
  <si>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</si>
  <si>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</si>
  <si>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</si>
  <si>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</si>
  <si>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</si>
  <si>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</si>
  <si>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</si>
  <si>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</si>
  <si>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</si>
  <si>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</si>
  <si>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</si>
  <si>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</si>
  <si>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</si>
  <si>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</si>
  <si>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</si>
  <si>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</si>
  <si>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</si>
  <si>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</si>
  <si>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</si>
  <si>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</si>
  <si>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</si>
  <si>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</si>
  <si>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</si>
  <si>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</si>
  <si>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</si>
  <si>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</si>
  <si>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</si>
  <si>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</si>
  <si>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</si>
  <si>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</si>
  <si>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</si>
  <si>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</si>
  <si>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</si>
  <si>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</si>
  <si>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</si>
  <si>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</si>
  <si>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</si>
  <si>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</si>
  <si>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</si>
  <si>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</si>
  <si>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</si>
  <si>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</si>
  <si>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</si>
  <si>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</si>
  <si>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</si>
  <si>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</si>
  <si>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</si>
  <si>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</si>
  <si>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</si>
  <si>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</si>
  <si>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</si>
  <si>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</si>
  <si>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</si>
  <si>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</si>
  <si>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</si>
  <si>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</si>
  <si>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</si>
  <si>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</si>
  <si>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</si>
  <si>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</si>
  <si>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</si>
  <si>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</si>
  <si>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</si>
  <si>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</si>
  <si>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</si>
  <si>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</si>
  <si>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</si>
  <si>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</si>
  <si>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</si>
  <si>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</si>
  <si>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</si>
  <si>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</si>
  <si>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</si>
  <si>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</si>
  <si>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</si>
  <si>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</si>
  <si>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</si>
  <si>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</si>
  <si>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</si>
  <si>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</si>
  <si>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</si>
  <si>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</si>
  <si>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</si>
  <si>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</si>
  <si>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</si>
  <si>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</si>
  <si>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</si>
  <si>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</si>
  <si>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</si>
  <si>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</si>
  <si>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</si>
  <si>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</si>
  <si>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</si>
  <si>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</si>
  <si>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</si>
  <si>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</si>
  <si>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</si>
  <si>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</si>
  <si>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</si>
  <si>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</si>
  <si>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</si>
  <si>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</si>
  <si>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</si>
  <si>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</si>
  <si>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</si>
  <si>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</si>
  <si>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</si>
  <si>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</si>
  <si>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</si>
  <si>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</si>
  <si>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</si>
  <si>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</si>
  <si>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</si>
  <si>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</si>
  <si>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</si>
  <si>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</si>
  <si>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</si>
  <si>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</si>
  <si>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</si>
  <si>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</si>
  <si>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</si>
  <si>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</si>
  <si>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</si>
  <si>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</si>
  <si>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</si>
  <si>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</si>
  <si>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</si>
  <si>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</si>
  <si>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</si>
  <si>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</si>
  <si>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</si>
  <si>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</si>
  <si>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</si>
  <si>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</si>
  <si>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</si>
  <si>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</si>
  <si>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</si>
  <si>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</si>
  <si>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</si>
  <si>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</si>
  <si>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</si>
  <si>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</si>
  <si>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</si>
  <si>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</si>
  <si>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</si>
  <si>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</si>
  <si>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</si>
  <si>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</si>
  <si>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</si>
  <si>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</si>
  <si>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</si>
  <si>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</si>
  <si>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</si>
  <si>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</si>
  <si>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</si>
  <si>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</si>
  <si>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</si>
  <si>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</si>
  <si>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</si>
  <si>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</si>
  <si>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</si>
  <si>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</si>
  <si>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</si>
  <si>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</si>
  <si>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</si>
  <si>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</si>
  <si>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</si>
  <si>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</si>
  <si>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</si>
  <si>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</si>
  <si>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</si>
  <si>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</si>
  <si>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</si>
  <si>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</si>
  <si>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</si>
  <si>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</si>
  <si>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</si>
  <si>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</si>
  <si>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</si>
  <si>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</si>
  <si>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</si>
  <si>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</si>
  <si>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</si>
  <si>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</si>
  <si>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</si>
  <si>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</si>
  <si>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</si>
  <si>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</si>
  <si>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</si>
  <si>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</si>
  <si>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</si>
  <si>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</si>
  <si>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</si>
  <si>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</si>
  <si>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</si>
  <si>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</si>
  <si>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</si>
  <si>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</si>
  <si>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</si>
  <si>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</si>
  <si>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</si>
  <si>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</si>
  <si>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</si>
  <si>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</si>
  <si>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</si>
  <si>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</si>
  <si>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</si>
  <si>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</si>
  <si>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</si>
  <si>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</si>
  <si>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</si>
  <si>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</si>
  <si>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</si>
  <si>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</si>
  <si>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</si>
  <si>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</si>
  <si>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</si>
  <si>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</si>
  <si>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</si>
  <si>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</si>
  <si>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</si>
  <si>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</si>
  <si>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</si>
  <si>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</si>
  <si>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</si>
  <si>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</si>
  <si>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</si>
  <si>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</si>
  <si>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</si>
  <si>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</si>
  <si>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</si>
  <si>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</si>
  <si>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</si>
  <si>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</si>
  <si>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</si>
  <si>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</si>
  <si>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</si>
  <si>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</si>
  <si>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</si>
  <si>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</si>
  <si>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</si>
  <si>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</si>
  <si>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</si>
  <si>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</si>
  <si>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</si>
  <si>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</si>
  <si>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</si>
  <si>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</si>
  <si>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</si>
  <si>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</si>
  <si>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</si>
  <si>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</si>
  <si>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</si>
  <si>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</si>
  <si>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</si>
  <si>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</si>
  <si>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</si>
  <si>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</si>
  <si>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</si>
  <si>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</si>
  <si>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</si>
  <si>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</si>
  <si>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</si>
  <si>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</si>
  <si>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</si>
  <si>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</si>
  <si>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</si>
  <si>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</si>
  <si>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</si>
  <si>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</si>
  <si>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</si>
  <si>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</si>
  <si>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</si>
  <si>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</si>
  <si>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</si>
  <si>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</si>
  <si>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</si>
  <si>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</si>
  <si>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</si>
  <si>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</si>
  <si>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</si>
  <si>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</si>
  <si>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</si>
  <si>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</si>
  <si>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</si>
  <si>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</si>
  <si>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</si>
  <si>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</si>
  <si>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</si>
  <si>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</si>
  <si>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</si>
  <si>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</si>
  <si>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</si>
  <si>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</si>
  <si>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</si>
  <si>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</si>
  <si>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</si>
  <si>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</si>
  <si>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</si>
  <si>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</si>
  <si>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</si>
  <si>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</si>
  <si>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</si>
  <si>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</si>
  <si>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</si>
  <si>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</si>
  <si>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</si>
  <si>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</si>
  <si>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</si>
  <si>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</si>
  <si>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</si>
  <si>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</si>
  <si>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</si>
  <si>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</si>
  <si>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</si>
  <si>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</si>
  <si>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</si>
  <si>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</si>
  <si>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</si>
  <si>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</si>
  <si>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</si>
  <si>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</si>
  <si>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</si>
  <si>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</si>
  <si>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</si>
  <si>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</si>
  <si>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</si>
  <si>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</si>
  <si>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</si>
  <si>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</si>
  <si>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</si>
  <si>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</si>
  <si>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</si>
  <si>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</si>
  <si>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</si>
  <si>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</si>
  <si>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</si>
  <si>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</si>
  <si>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</si>
  <si>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</si>
  <si>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</si>
  <si>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</si>
  <si>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</si>
  <si>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</si>
  <si>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</si>
  <si>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</si>
  <si>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</si>
  <si>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</si>
  <si>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</si>
  <si>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</si>
  <si>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</si>
  <si>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</si>
  <si>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</si>
  <si>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</si>
  <si>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</si>
  <si>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</si>
  <si>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</si>
  <si>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</si>
  <si>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</si>
  <si>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</si>
  <si>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</si>
  <si>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</si>
  <si>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</si>
  <si>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</si>
  <si>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</si>
  <si>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</si>
  <si>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</si>
  <si>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</si>
  <si>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</si>
  <si>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</si>
  <si>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</si>
  <si>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</si>
  <si>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</si>
  <si>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</si>
  <si>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</si>
  <si>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</si>
  <si>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</si>
  <si>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</si>
  <si>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</si>
  <si>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</si>
  <si>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</si>
  <si>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</si>
  <si>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</si>
  <si>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</si>
  <si>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</si>
  <si>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</si>
  <si>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</si>
  <si>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</si>
  <si>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</si>
  <si>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</si>
  <si>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</si>
  <si>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</si>
  <si>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</si>
  <si>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</si>
  <si>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</si>
  <si>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</si>
  <si>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</si>
  <si>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</si>
  <si>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</si>
  <si>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</si>
  <si>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</si>
  <si>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</si>
  <si>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</si>
  <si>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</si>
  <si>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</si>
  <si>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</si>
  <si>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</si>
  <si>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</si>
  <si>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</si>
  <si>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</si>
  <si>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</si>
  <si>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</si>
  <si>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</si>
  <si>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</si>
  <si>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</si>
  <si>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</si>
  <si>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</si>
  <si>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</si>
  <si>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</si>
  <si>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</si>
  <si>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</si>
  <si>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</si>
  <si>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</si>
  <si>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</si>
  <si>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</si>
  <si>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</si>
  <si>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</si>
  <si>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</si>
  <si>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</si>
  <si>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</si>
  <si>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</si>
  <si>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</si>
  <si>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</si>
  <si>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</si>
  <si>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</si>
  <si>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</si>
  <si>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</si>
  <si>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</si>
  <si>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</si>
  <si>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</si>
  <si>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</si>
  <si>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</si>
  <si>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</si>
  <si>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</si>
  <si>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</si>
  <si>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</si>
  <si>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</si>
  <si>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</si>
  <si>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</si>
  <si>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</si>
  <si>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</si>
  <si>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</si>
  <si>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</si>
  <si>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</si>
  <si>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</si>
  <si>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</si>
  <si>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</si>
  <si>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</si>
  <si>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</si>
  <si>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</si>
  <si>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</si>
  <si>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</si>
  <si>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</si>
  <si>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</si>
  <si>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</si>
  <si>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</si>
  <si>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</si>
  <si>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</si>
  <si>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</si>
  <si>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</si>
  <si>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</si>
  <si>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</si>
  <si>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</si>
  <si>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</si>
  <si>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</si>
  <si>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</si>
  <si>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</si>
  <si>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</si>
  <si>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</si>
  <si>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</si>
  <si>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</si>
  <si>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</si>
  <si>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</si>
  <si>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</si>
  <si>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</si>
  <si>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</si>
  <si>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</si>
  <si>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</si>
  <si>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</si>
  <si>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</si>
  <si>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</si>
  <si>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</si>
  <si>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</si>
  <si>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</si>
  <si>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</si>
  <si>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</si>
  <si>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</si>
  <si>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</si>
  <si>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</si>
  <si>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</si>
  <si>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</si>
  <si>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</si>
  <si>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</si>
  <si>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</si>
  <si>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</si>
  <si>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</si>
  <si>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</si>
  <si>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</si>
  <si>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</si>
  <si>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</si>
  <si>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</si>
  <si>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</si>
  <si>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</si>
  <si>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</si>
  <si>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</si>
  <si>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</si>
  <si>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</si>
  <si>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</si>
  <si>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</si>
  <si>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</si>
  <si>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</si>
  <si>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</si>
  <si>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</si>
  <si>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</si>
  <si>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</si>
  <si>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</si>
  <si>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</si>
  <si>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</si>
  <si>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</si>
  <si>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</si>
  <si>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</si>
  <si>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</si>
  <si>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</si>
  <si>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</si>
  <si>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</si>
  <si>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</si>
  <si>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</si>
  <si>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</si>
  <si>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</si>
  <si>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</si>
  <si>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</si>
  <si>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</si>
  <si>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</si>
  <si>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</si>
  <si>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</si>
  <si>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</si>
  <si>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</si>
  <si>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</si>
  <si>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</si>
  <si>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</si>
  <si>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</si>
  <si>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</si>
  <si>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</si>
  <si>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</si>
  <si>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</si>
  <si>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</si>
  <si>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</si>
  <si>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</si>
  <si>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</si>
  <si>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</si>
  <si>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</si>
  <si>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</si>
  <si>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</si>
  <si>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</si>
  <si>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</si>
  <si>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</si>
  <si>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</si>
  <si>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</si>
  <si>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</si>
  <si>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</si>
  <si>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</si>
  <si>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</si>
  <si>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</si>
  <si>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</si>
  <si>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</si>
  <si>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</si>
  <si>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</si>
  <si>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</si>
  <si>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</si>
  <si>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</si>
  <si>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</si>
  <si>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</si>
  <si>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</si>
  <si>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</si>
  <si>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</si>
  <si>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</si>
  <si>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</si>
  <si>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</si>
  <si>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</si>
  <si>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</si>
  <si>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</si>
  <si>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</si>
  <si>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</si>
  <si>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</si>
  <si>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</si>
  <si>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</si>
  <si>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</si>
  <si>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</si>
  <si>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</si>
  <si>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</si>
  <si>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</si>
  <si>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</si>
  <si>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</si>
  <si>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</si>
  <si>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</si>
  <si>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</si>
  <si>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</si>
  <si>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</si>
  <si>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</si>
  <si>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</si>
  <si>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</si>
  <si>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</si>
  <si>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</si>
  <si>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</si>
  <si>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</si>
  <si>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</si>
  <si>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</si>
  <si>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</si>
  <si>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</si>
  <si>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</si>
  <si>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</si>
  <si>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</si>
  <si>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</si>
  <si>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</si>
  <si>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</si>
  <si>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</si>
  <si>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</si>
  <si>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</si>
  <si>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</si>
  <si>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</si>
  <si>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</si>
  <si>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</si>
  <si>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</si>
  <si>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</si>
  <si>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</si>
  <si>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</si>
  <si>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</si>
  <si>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</si>
  <si>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</si>
  <si>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</si>
  <si>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</si>
  <si>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</si>
  <si>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</si>
  <si>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</si>
  <si>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</si>
  <si>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</si>
  <si>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</si>
  <si>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</si>
  <si>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</si>
  <si>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</si>
  <si>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</si>
  <si>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</si>
  <si>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</si>
  <si>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</si>
  <si>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</si>
  <si>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</si>
  <si>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</si>
  <si>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</si>
  <si>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</si>
  <si>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</si>
  <si>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</si>
  <si>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</si>
  <si>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</si>
  <si>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</si>
  <si>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</si>
  <si>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</si>
  <si>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</si>
  <si>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</si>
  <si>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</si>
  <si>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</si>
  <si>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</si>
  <si>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</si>
  <si>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</si>
  <si>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</si>
  <si>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</si>
  <si>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</si>
  <si>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</si>
  <si>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</si>
  <si>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</si>
  <si>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</si>
  <si>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</si>
  <si>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</si>
  <si>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</si>
  <si>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</si>
  <si>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</si>
  <si>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</si>
  <si>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</si>
  <si>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</si>
  <si>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</si>
  <si>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</si>
  <si>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</si>
  <si>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</si>
  <si>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</si>
  <si>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</si>
  <si>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</si>
  <si>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</si>
  <si>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</si>
  <si>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</si>
  <si>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</si>
  <si>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</si>
  <si>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</si>
  <si>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</si>
  <si>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</si>
  <si>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</si>
  <si>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</si>
  <si>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</si>
  <si>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</si>
  <si>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</si>
  <si>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</si>
  <si>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</si>
  <si>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</si>
  <si>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</si>
  <si>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</si>
  <si>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</si>
  <si>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</si>
  <si>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</si>
  <si>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</si>
  <si>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</si>
  <si>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</si>
  <si>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</si>
  <si>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</si>
  <si>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</si>
  <si>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</si>
  <si>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</si>
  <si>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</si>
  <si>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</si>
  <si>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</si>
  <si>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</si>
  <si>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</si>
  <si>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</si>
  <si>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</si>
  <si>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</si>
  <si>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</si>
  <si>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</si>
  <si>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</si>
  <si>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</si>
  <si>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</si>
  <si>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</si>
  <si>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</si>
  <si>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</si>
  <si>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</si>
  <si>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</si>
  <si>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</si>
  <si>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</si>
  <si>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</si>
  <si>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</si>
  <si>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</si>
  <si>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</si>
  <si>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</si>
  <si>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</si>
  <si>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</si>
  <si>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</si>
  <si>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</si>
  <si>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</si>
  <si>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</si>
  <si>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</si>
  <si>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</si>
  <si>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</si>
  <si>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</si>
  <si>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</si>
  <si>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</si>
  <si>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</si>
  <si>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</si>
  <si>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</si>
  <si>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</si>
  <si>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</si>
  <si>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</si>
  <si>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</si>
  <si>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</si>
  <si>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</si>
  <si>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</si>
  <si>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</si>
  <si>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</si>
  <si>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</si>
  <si>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</si>
  <si>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</si>
  <si>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</si>
  <si>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</si>
  <si>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</si>
  <si>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</si>
  <si>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</si>
  <si>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</si>
  <si>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</si>
  <si>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</si>
  <si>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</si>
  <si>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</si>
  <si>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</si>
  <si>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</si>
  <si>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</si>
  <si>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</si>
  <si>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</si>
  <si>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</si>
  <si>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</si>
  <si>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</si>
  <si>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</si>
  <si>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</si>
  <si>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</si>
  <si>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</si>
  <si>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</si>
  <si>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</si>
  <si>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</si>
  <si>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</si>
  <si>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</si>
  <si>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</si>
  <si>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</si>
  <si>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</si>
  <si>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</si>
  <si>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</si>
  <si>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</si>
  <si>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</si>
  <si>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</si>
  <si>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</si>
  <si>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</si>
  <si>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</si>
  <si>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CHICLANA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</si>
</sst>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OiWWnSVBO+QEOq1QKnG43aKnmSUToTknCXA330b6gIxX+chaCDwGdnSxupdpuANhs8E5kNY4sv3WrUHs/QELw==" saltValue="alriwPsaX7+2lAG6QDkZ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28</v>
      </c>
      <c r="D10" s="239">
        <f>IF(ISNUMBER(Datos!I10),Datos!I10," - ")</f>
        <v>28</v>
      </c>
      <c r="E10" s="240">
        <f>IF(ISNUMBER(Datos!J10),Datos!J10," - ")</f>
        <v>30</v>
      </c>
      <c r="F10" s="240">
        <f>IF(ISNUMBER(Datos!K10),Datos!K10," - ")</f>
        <v>34</v>
      </c>
      <c r="G10" s="1390" t="str">
        <f>IF(Datos!E10&lt;&gt;"",Datos!E10,Datos!D10)</f>
        <v>37</v>
      </c>
      <c r="H10" s="241">
        <f>IF(ISNUMBER(Datos!L10),Datos!L10," - ")</f>
        <v>24</v>
      </c>
      <c r="I10" s="1400" t="str">
        <f>IF(ISNUMBER(Datos!AS10/Datos!BM10),Datos!AS10/Datos!BM10," - ")</f>
        <v xml:space="preserve"> - </v>
      </c>
      <c r="J10" s="1401">
        <f>IF(ISNUMBER(Datos!BY10/Datos!CN10),Datos!BY10/Datos!CN10," - ")</f>
        <v>0</v>
      </c>
      <c r="K10" s="244">
        <f t="shared" ref="K10:K13" si="1">IF(ISNUMBER((E10-F10)/C10),(E10-F10)/C10," - ")</f>
        <v>-0.14285714285714285</v>
      </c>
      <c r="L10" s="1402">
        <f>IF(ISNUMBER(NºAsuntos!I10/NºAsuntos!G10),(NºAsuntos!I10/NºAsuntos!G10)*11," - ")</f>
        <v>7.764705882352942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7.4200743494423795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28</v>
      </c>
      <c r="D14" s="1407">
        <f>SUBTOTAL(9,D9:D13)</f>
        <v>28</v>
      </c>
      <c r="E14" s="1408">
        <f>SUBTOTAL(9,E9:E13)</f>
        <v>30</v>
      </c>
      <c r="F14" s="1409">
        <f>SUBTOTAL(9,F9:F13)</f>
        <v>34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2069</v>
      </c>
      <c r="D17" s="239">
        <f>IF(ISNUMBER(IF(D_I="SI",Datos!I17,Datos!I17+Datos!AC17)),IF(D_I="SI",Datos!I17,Datos!I17+Datos!AC17)," - ")</f>
        <v>2038</v>
      </c>
      <c r="E17" s="240">
        <f>IF(ISNUMBER(IF(D_I="SI",Datos!J17,Datos!J17+Datos!AD17)),IF(D_I="SI",Datos!J17,Datos!J17+Datos!AD17)," - ")</f>
        <v>4454</v>
      </c>
      <c r="F17" s="240">
        <f>IF(ISNUMBER(IF(D_I="SI",Datos!K17,Datos!K17+Datos!AE17)),IF(D_I="SI",Datos!K17,Datos!K17+Datos!AE17)," - ")</f>
        <v>4528</v>
      </c>
      <c r="G17" s="1390" t="str">
        <f>IF(Datos!E17&lt;&gt;"",Datos!E17,Datos!D17)</f>
        <v>04</v>
      </c>
      <c r="H17" s="241">
        <f>IF(ISNUMBER(IF(D_I="SI",Datos!L17,Datos!L17+Datos!AF17)),IF(D_I="SI",Datos!L17,Datos!L17+Datos!AF17)," - ")</f>
        <v>1995</v>
      </c>
      <c r="I17" s="1400" t="str">
        <f>IF(ISNUMBER(Datos!AS17/Datos!BM17),Datos!AS17/Datos!BM17," - ")</f>
        <v xml:space="preserve"> - </v>
      </c>
      <c r="J17" s="1401">
        <f>IF(ISNUMBER(Datos!BY17/Datos!CN17),Datos!BY17/Datos!CN17," - ")</f>
        <v>0</v>
      </c>
      <c r="K17" s="244">
        <f t="shared" si="3"/>
        <v>-3.5766070565490575E-2</v>
      </c>
      <c r="L17" s="1402">
        <f>IF(ISNUMBER(NºAsuntos!I17/NºAsuntos!G17),(NºAsuntos!I17/NºAsuntos!G17)*11," - ")</f>
        <v>4.846510600706714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147</v>
      </c>
      <c r="D18" s="239">
        <f>IF(ISNUMBER(IF(D_I="SI",Datos!I18,Datos!I18+Datos!AC18)),IF(D_I="SI",Datos!I18,Datos!I18+Datos!AC18)," - ")</f>
        <v>147</v>
      </c>
      <c r="E18" s="240">
        <f>IF(ISNUMBER(IF(D_I="SI",Datos!J18,Datos!J18+Datos!AD18)),IF(D_I="SI",Datos!J18,Datos!J18+Datos!AD18)," - ")</f>
        <v>442</v>
      </c>
      <c r="F18" s="240">
        <f>IF(ISNUMBER(IF(D_I="SI",Datos!K18,Datos!K18+Datos!AE18)),IF(D_I="SI",Datos!K18,Datos!K18+Datos!AE18)," - ")</f>
        <v>525</v>
      </c>
      <c r="G18" s="1390" t="str">
        <f>IF(Datos!E18&lt;&gt;"",Datos!E18,Datos!D18)</f>
        <v>37</v>
      </c>
      <c r="H18" s="241">
        <f>IF(ISNUMBER(IF(D_I="SI",Datos!L18,Datos!L18+Datos!AF18)),IF(D_I="SI",Datos!L18,Datos!L18+Datos!AF18)," - ")</f>
        <v>64</v>
      </c>
      <c r="I18" s="1400" t="str">
        <f>IF(ISNUMBER(Datos!AS18/Datos!BM18),Datos!AS18/Datos!BM18," - ")</f>
        <v xml:space="preserve"> - </v>
      </c>
      <c r="J18" s="1401" t="str">
        <f>IF(ISNUMBER((Datos!BY18+Datos!BZ18)/Datos!CN18),(Datos!BY18+Datos!BZ18)/Datos!CN18," - ")</f>
        <v xml:space="preserve"> - </v>
      </c>
      <c r="K18" s="244">
        <f t="shared" si="3"/>
        <v>-0.56462585034013602</v>
      </c>
      <c r="L18" s="1402">
        <f>IF(ISNUMBER(NºAsuntos!I18/NºAsuntos!G18),(NºAsuntos!I18/NºAsuntos!G18)*11," - ")</f>
        <v>1.3409523809523809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2216</v>
      </c>
      <c r="D23" s="1407">
        <f>SUBTOTAL(9,D16:D22)</f>
        <v>2185</v>
      </c>
      <c r="E23" s="1408">
        <f>SUBTOTAL(9,E16:E22)</f>
        <v>4896</v>
      </c>
      <c r="F23" s="1408">
        <f>SUBTOTAL(9,F16:F22)</f>
        <v>5053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2244</v>
      </c>
      <c r="D31" s="1435">
        <f>SUBTOTAL(9,D9:D30)</f>
        <v>2213</v>
      </c>
      <c r="E31" s="1436">
        <f>SUBTOTAL(9,E9:E30)</f>
        <v>4926</v>
      </c>
      <c r="F31" s="1436">
        <f>SUBTOTAL(9,F9:F30)</f>
        <v>5087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AEB1Is1NOOdEXDYs/JCnXzvy5VKw2GqrZySXTTProoY7tWt2siDC6184ooZ16CDcfBeAw5YHDqvXXj1nw08Ug==" saltValue="hEuBJnrBQcrZJhCvcOz6F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2mSsn61OH2fPh+bNpJCGX1cqcVzevXfPrN5QywtQHWub5U3S7lV8fRW6Tx5Db4JwA1jGi5wSE3NJ5LOWYUVvjw==" saltValue="0QMI79PW62o2VdcmOe295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28</v>
      </c>
      <c r="J10" s="194">
        <v>30</v>
      </c>
      <c r="K10" s="194">
        <v>34</v>
      </c>
      <c r="L10" s="194">
        <v>24</v>
      </c>
      <c r="M10" s="194">
        <v>18</v>
      </c>
      <c r="N10" s="194">
        <v>12</v>
      </c>
      <c r="O10" s="194">
        <v>2</v>
      </c>
      <c r="P10" s="194">
        <v>2</v>
      </c>
      <c r="Q10" s="194">
        <v>2</v>
      </c>
      <c r="R10" s="194">
        <v>41</v>
      </c>
      <c r="S10" s="194">
        <v>53</v>
      </c>
      <c r="T10" s="194">
        <v>19</v>
      </c>
      <c r="U10" s="194">
        <v>26</v>
      </c>
      <c r="V10" s="194">
        <v>28</v>
      </c>
      <c r="W10" s="194">
        <v>25</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53</v>
      </c>
      <c r="AZ10" s="139">
        <f t="shared" si="0"/>
        <v>19</v>
      </c>
      <c r="BA10" s="139">
        <f t="shared" si="0"/>
        <v>26</v>
      </c>
      <c r="BB10" s="139">
        <f t="shared" si="0"/>
        <v>28</v>
      </c>
      <c r="BC10" s="135">
        <f t="shared" si="0"/>
        <v>25</v>
      </c>
      <c r="BD10" s="136">
        <f>IF(ISNUMBER(BA10/AZ10),BA10/AZ10," - ")</f>
        <v>1.368421052631579</v>
      </c>
      <c r="BE10" s="137">
        <f>IF(ISNUMBER(BB10/BA10),BB10/BA10, " - ")</f>
        <v>1.0769230769230769</v>
      </c>
      <c r="BF10" s="137">
        <f>IF(ISNUMBER(BC10/BA10),BC10/BA10, " - ")</f>
        <v>0.96153846153846156</v>
      </c>
      <c r="BG10" s="209">
        <f>IF(ISNUMBER((AY10+AZ10)/BA10),(AY10+AZ10)/BA10," - ")</f>
        <v>2.7692307692307692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3869</v>
      </c>
      <c r="J12" s="196">
        <v>5381</v>
      </c>
      <c r="K12" s="196">
        <v>5488</v>
      </c>
      <c r="L12" s="196">
        <v>3909</v>
      </c>
      <c r="M12" s="196">
        <v>1334</v>
      </c>
      <c r="N12" s="196">
        <v>2048</v>
      </c>
      <c r="O12" s="194">
        <v>1770</v>
      </c>
      <c r="P12" s="196">
        <v>1377</v>
      </c>
      <c r="Q12" s="196">
        <v>970</v>
      </c>
      <c r="R12" s="196">
        <v>5904</v>
      </c>
      <c r="S12" s="196">
        <v>4016</v>
      </c>
      <c r="T12" s="196">
        <v>5035</v>
      </c>
      <c r="U12" s="196">
        <v>5555</v>
      </c>
      <c r="V12" s="196">
        <v>3869</v>
      </c>
      <c r="W12" s="196">
        <v>1329</v>
      </c>
      <c r="X12" s="202">
        <v>1844</v>
      </c>
      <c r="Y12" s="204">
        <v>47</v>
      </c>
      <c r="Z12" s="194">
        <v>466</v>
      </c>
      <c r="AA12" s="194">
        <v>430</v>
      </c>
      <c r="AB12" s="194">
        <v>83</v>
      </c>
      <c r="AC12" s="196">
        <v>0</v>
      </c>
      <c r="AD12" s="196">
        <v>0</v>
      </c>
      <c r="AE12" s="196">
        <v>0</v>
      </c>
      <c r="AF12" s="202">
        <v>0</v>
      </c>
      <c r="AG12" s="215">
        <v>66</v>
      </c>
      <c r="AH12" s="196">
        <v>537</v>
      </c>
      <c r="AI12" s="196">
        <v>556</v>
      </c>
      <c r="AJ12" s="216">
        <v>47</v>
      </c>
      <c r="AK12" s="195">
        <v>0</v>
      </c>
      <c r="AL12" s="196">
        <v>0</v>
      </c>
      <c r="AM12" s="196">
        <v>0</v>
      </c>
      <c r="AN12" s="202">
        <v>0</v>
      </c>
      <c r="AO12" s="283">
        <v>6</v>
      </c>
      <c r="AP12" s="168">
        <v>6</v>
      </c>
      <c r="AQ12" s="168">
        <v>6</v>
      </c>
      <c r="AR12" s="167">
        <v>6</v>
      </c>
      <c r="AS12" s="381" t="s">
        <v>1075</v>
      </c>
      <c r="AT12" s="216"/>
      <c r="AU12" s="215"/>
      <c r="AV12" s="216"/>
      <c r="AW12" s="215"/>
      <c r="AX12" s="216"/>
      <c r="AY12" s="136">
        <f t="shared" si="1"/>
        <v>4082</v>
      </c>
      <c r="AZ12" s="137">
        <f t="shared" si="1"/>
        <v>5572</v>
      </c>
      <c r="BA12" s="137">
        <f t="shared" si="1"/>
        <v>6111</v>
      </c>
      <c r="BB12" s="137">
        <f t="shared" si="1"/>
        <v>3916</v>
      </c>
      <c r="BC12" s="135">
        <f>IF(ISNUMBER(X12),X12," - ")</f>
        <v>1844</v>
      </c>
      <c r="BD12" s="136">
        <f t="shared" si="2"/>
        <v>1.0967336683417086</v>
      </c>
      <c r="BE12" s="137">
        <f t="shared" si="3"/>
        <v>0.64081165112092953</v>
      </c>
      <c r="BF12" s="137">
        <f t="shared" si="4"/>
        <v>0.30175094092619864</v>
      </c>
      <c r="BG12" s="209">
        <f t="shared" si="5"/>
        <v>1.579774177712322</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3897</v>
      </c>
      <c r="J14" s="197">
        <f t="shared" si="7"/>
        <v>5411</v>
      </c>
      <c r="K14" s="197">
        <f t="shared" si="7"/>
        <v>5522</v>
      </c>
      <c r="L14" s="197">
        <f t="shared" si="7"/>
        <v>3933</v>
      </c>
      <c r="M14" s="197">
        <f t="shared" si="7"/>
        <v>1352</v>
      </c>
      <c r="N14" s="197">
        <f t="shared" si="7"/>
        <v>2060</v>
      </c>
      <c r="O14" s="197">
        <f t="shared" si="7"/>
        <v>1772</v>
      </c>
      <c r="P14" s="197">
        <f t="shared" si="7"/>
        <v>1379</v>
      </c>
      <c r="Q14" s="197">
        <f t="shared" si="7"/>
        <v>972</v>
      </c>
      <c r="R14" s="197">
        <f t="shared" si="7"/>
        <v>5945</v>
      </c>
      <c r="S14" s="197">
        <f t="shared" si="7"/>
        <v>4069</v>
      </c>
      <c r="T14" s="197">
        <f t="shared" si="7"/>
        <v>5054</v>
      </c>
      <c r="U14" s="197">
        <f t="shared" si="7"/>
        <v>5581</v>
      </c>
      <c r="V14" s="197">
        <f t="shared" si="7"/>
        <v>3897</v>
      </c>
      <c r="W14" s="197">
        <f t="shared" si="7"/>
        <v>1354</v>
      </c>
      <c r="X14" s="197">
        <f t="shared" si="7"/>
        <v>1844</v>
      </c>
      <c r="Y14" s="197">
        <f t="shared" si="7"/>
        <v>47</v>
      </c>
      <c r="Z14" s="197">
        <f t="shared" si="7"/>
        <v>466</v>
      </c>
      <c r="AA14" s="197">
        <f t="shared" si="7"/>
        <v>430</v>
      </c>
      <c r="AB14" s="197">
        <f t="shared" si="7"/>
        <v>83</v>
      </c>
      <c r="AC14" s="197">
        <f t="shared" si="7"/>
        <v>0</v>
      </c>
      <c r="AD14" s="197">
        <f t="shared" si="7"/>
        <v>0</v>
      </c>
      <c r="AE14" s="197">
        <f t="shared" si="7"/>
        <v>0</v>
      </c>
      <c r="AF14" s="197">
        <f>SUBTOTAL(9,AF9:AF13)</f>
        <v>0</v>
      </c>
      <c r="AG14" s="197">
        <f t="shared" ref="AG14:AT14" si="8">SUBTOTAL(9,AG8:AG13)</f>
        <v>66</v>
      </c>
      <c r="AH14" s="197">
        <f t="shared" si="8"/>
        <v>537</v>
      </c>
      <c r="AI14" s="197">
        <f t="shared" si="8"/>
        <v>556</v>
      </c>
      <c r="AJ14" s="197">
        <f t="shared" si="8"/>
        <v>47</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4135</v>
      </c>
      <c r="AZ14" s="197">
        <f>SUBTOTAL(9,AZ8:AZ13)</f>
        <v>5591</v>
      </c>
      <c r="BA14" s="197">
        <f>SUBTOTAL(9,BA8:BA13)</f>
        <v>6137</v>
      </c>
      <c r="BB14" s="197">
        <f>SUBTOTAL(9,BB8:BB13)</f>
        <v>3944</v>
      </c>
      <c r="BC14" s="197">
        <f>SUBTOTAL(9,BC8:BC13)</f>
        <v>1869</v>
      </c>
      <c r="BD14" s="219">
        <f>IF(ISNUMBER(BA14/AZ14),BA14/AZ14," - ")</f>
        <v>1.0976569486675014</v>
      </c>
      <c r="BE14" s="220">
        <f>IF(ISNUMBER(BB14/BA14),BB14/BA14, " - ")</f>
        <v>0.64265927977839332</v>
      </c>
      <c r="BF14" s="220">
        <f>IF(ISNUMBER(BC14/BA14),BC14/BA14, " - ")</f>
        <v>0.30454619520938569</v>
      </c>
      <c r="BG14" s="221">
        <f>IF(ISNUMBER((AY14+AZ14)/BA14),(AY14+AZ14)/BA14," - ")</f>
        <v>1.5848134267557439</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2038</v>
      </c>
      <c r="J17" s="196">
        <v>4454</v>
      </c>
      <c r="K17" s="196">
        <v>4528</v>
      </c>
      <c r="L17" s="196">
        <v>1995</v>
      </c>
      <c r="M17" s="196">
        <v>1116</v>
      </c>
      <c r="N17" s="196">
        <v>2101</v>
      </c>
      <c r="O17" s="194">
        <v>45</v>
      </c>
      <c r="P17" s="196">
        <v>179</v>
      </c>
      <c r="Q17" s="196">
        <v>140</v>
      </c>
      <c r="R17" s="196">
        <v>334</v>
      </c>
      <c r="S17" s="196">
        <v>2255</v>
      </c>
      <c r="T17" s="196">
        <v>4063</v>
      </c>
      <c r="U17" s="196">
        <v>4354</v>
      </c>
      <c r="V17" s="196">
        <v>2038</v>
      </c>
      <c r="W17" s="196">
        <v>935</v>
      </c>
      <c r="X17" s="202">
        <v>2259</v>
      </c>
      <c r="Y17" s="215">
        <v>0</v>
      </c>
      <c r="Z17" s="196">
        <v>0</v>
      </c>
      <c r="AA17" s="196">
        <v>0</v>
      </c>
      <c r="AB17" s="196">
        <v>0</v>
      </c>
      <c r="AC17" s="196">
        <v>147</v>
      </c>
      <c r="AD17" s="196">
        <v>622</v>
      </c>
      <c r="AE17" s="196">
        <v>748</v>
      </c>
      <c r="AF17" s="202">
        <v>21</v>
      </c>
      <c r="AG17" s="215">
        <v>0</v>
      </c>
      <c r="AH17" s="196">
        <v>0</v>
      </c>
      <c r="AI17" s="196">
        <v>0</v>
      </c>
      <c r="AJ17" s="216">
        <v>0</v>
      </c>
      <c r="AK17" s="195">
        <v>0</v>
      </c>
      <c r="AL17" s="196">
        <v>190</v>
      </c>
      <c r="AM17" s="196">
        <v>43</v>
      </c>
      <c r="AN17" s="202">
        <v>147</v>
      </c>
      <c r="AO17" s="283">
        <v>6</v>
      </c>
      <c r="AP17" s="168">
        <v>6</v>
      </c>
      <c r="AQ17" s="168">
        <v>6</v>
      </c>
      <c r="AR17" s="168">
        <v>6</v>
      </c>
      <c r="AS17" s="381" t="s">
        <v>650</v>
      </c>
      <c r="AT17" s="216"/>
      <c r="AU17" s="215"/>
      <c r="AV17" s="216"/>
      <c r="AW17" s="215"/>
      <c r="AX17" s="216"/>
      <c r="AY17" s="136">
        <f t="shared" si="10"/>
        <v>2255</v>
      </c>
      <c r="AZ17" s="137">
        <f t="shared" si="10"/>
        <v>4063</v>
      </c>
      <c r="BA17" s="137">
        <f t="shared" si="10"/>
        <v>4354</v>
      </c>
      <c r="BB17" s="137">
        <f t="shared" si="10"/>
        <v>2038</v>
      </c>
      <c r="BC17" s="135">
        <f>IF(ISNUMBER(W17),W17," - ")</f>
        <v>935</v>
      </c>
      <c r="BD17" s="136">
        <f t="shared" ref="BD17:BD22" si="12">IF(ISNUMBER(BA17/AZ17),BA17/AZ17," - ")</f>
        <v>1.071621954221019</v>
      </c>
      <c r="BE17" s="137">
        <f t="shared" ref="BE17:BE22" si="13">IF(ISNUMBER(BB17/BA17),BB17/BA17, " - ")</f>
        <v>0.46807533302710153</v>
      </c>
      <c r="BF17" s="137">
        <f t="shared" ref="BF17:BF22" si="14">IF(ISNUMBER(BC17/BA17),BC17/BA17, " - ")</f>
        <v>0.21474506201194304</v>
      </c>
      <c r="BG17" s="209">
        <f t="shared" si="11"/>
        <v>1.4510794671566376</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147</v>
      </c>
      <c r="J18" s="196">
        <v>442</v>
      </c>
      <c r="K18" s="196">
        <v>525</v>
      </c>
      <c r="L18" s="196">
        <v>64</v>
      </c>
      <c r="M18" s="196">
        <v>93</v>
      </c>
      <c r="N18" s="196">
        <v>284</v>
      </c>
      <c r="O18" s="196">
        <v>1</v>
      </c>
      <c r="P18" s="196">
        <v>0</v>
      </c>
      <c r="Q18" s="196">
        <v>1</v>
      </c>
      <c r="R18" s="196">
        <v>2</v>
      </c>
      <c r="S18" s="196">
        <v>256</v>
      </c>
      <c r="T18" s="196">
        <v>396</v>
      </c>
      <c r="U18" s="196">
        <v>360</v>
      </c>
      <c r="V18" s="196">
        <v>147</v>
      </c>
      <c r="W18" s="196">
        <v>60</v>
      </c>
      <c r="X18" s="202">
        <v>168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256</v>
      </c>
      <c r="AZ18" s="139">
        <f t="shared" si="15"/>
        <v>396</v>
      </c>
      <c r="BA18" s="139">
        <f t="shared" si="15"/>
        <v>360</v>
      </c>
      <c r="BB18" s="139">
        <f t="shared" si="15"/>
        <v>147</v>
      </c>
      <c r="BC18" s="135">
        <f>IF(ISNUMBER(W18),W18," - ")</f>
        <v>60</v>
      </c>
      <c r="BD18" s="136">
        <f>IF(ISNUMBER(BA18/AZ18),BA18/AZ18," - ")</f>
        <v>0.90909090909090906</v>
      </c>
      <c r="BE18" s="137">
        <f>IF(ISNUMBER(BB18/BA18),BB18/BA18, " - ")</f>
        <v>0.40833333333333333</v>
      </c>
      <c r="BF18" s="137">
        <f>IF(ISNUMBER(BC18/BA18),BC18/BA18, " - ")</f>
        <v>0.16666666666666666</v>
      </c>
      <c r="BG18" s="209">
        <f>IF(ISNUMBER((AY18+AZ18)/BA18),(AY18+AZ18)/BA18," - ")</f>
        <v>1.8111111111111111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2185</v>
      </c>
      <c r="J23" s="197">
        <f t="shared" si="21"/>
        <v>4896</v>
      </c>
      <c r="K23" s="197">
        <f t="shared" si="21"/>
        <v>5053</v>
      </c>
      <c r="L23" s="197">
        <f t="shared" si="21"/>
        <v>2059</v>
      </c>
      <c r="M23" s="197">
        <f t="shared" si="21"/>
        <v>1209</v>
      </c>
      <c r="N23" s="197">
        <f t="shared" si="21"/>
        <v>2385</v>
      </c>
      <c r="O23" s="197">
        <f t="shared" si="21"/>
        <v>46</v>
      </c>
      <c r="P23" s="197">
        <f t="shared" si="21"/>
        <v>179</v>
      </c>
      <c r="Q23" s="197">
        <f t="shared" si="21"/>
        <v>141</v>
      </c>
      <c r="R23" s="197">
        <f t="shared" si="21"/>
        <v>336</v>
      </c>
      <c r="S23" s="197">
        <f t="shared" si="21"/>
        <v>2511</v>
      </c>
      <c r="T23" s="197">
        <f t="shared" si="21"/>
        <v>4459</v>
      </c>
      <c r="U23" s="197">
        <f t="shared" si="21"/>
        <v>4714</v>
      </c>
      <c r="V23" s="197">
        <f t="shared" si="21"/>
        <v>2185</v>
      </c>
      <c r="W23" s="197">
        <f t="shared" si="21"/>
        <v>995</v>
      </c>
      <c r="X23" s="197">
        <f t="shared" si="21"/>
        <v>2427</v>
      </c>
      <c r="Y23" s="197">
        <f t="shared" si="21"/>
        <v>0</v>
      </c>
      <c r="Z23" s="197">
        <f t="shared" si="21"/>
        <v>0</v>
      </c>
      <c r="AA23" s="197">
        <f t="shared" si="21"/>
        <v>0</v>
      </c>
      <c r="AB23" s="197">
        <f t="shared" si="21"/>
        <v>0</v>
      </c>
      <c r="AC23" s="197">
        <f t="shared" si="21"/>
        <v>147</v>
      </c>
      <c r="AD23" s="197">
        <f t="shared" si="21"/>
        <v>622</v>
      </c>
      <c r="AE23" s="197">
        <f t="shared" si="21"/>
        <v>748</v>
      </c>
      <c r="AF23" s="197">
        <f t="shared" si="21"/>
        <v>21</v>
      </c>
      <c r="AG23" s="197">
        <f t="shared" si="21"/>
        <v>0</v>
      </c>
      <c r="AH23" s="197">
        <f t="shared" si="21"/>
        <v>0</v>
      </c>
      <c r="AI23" s="197">
        <f t="shared" si="21"/>
        <v>0</v>
      </c>
      <c r="AJ23" s="197">
        <f t="shared" si="21"/>
        <v>0</v>
      </c>
      <c r="AK23" s="197">
        <f t="shared" si="21"/>
        <v>0</v>
      </c>
      <c r="AL23" s="197">
        <f t="shared" si="21"/>
        <v>190</v>
      </c>
      <c r="AM23" s="197">
        <f t="shared" si="21"/>
        <v>43</v>
      </c>
      <c r="AN23" s="197">
        <f t="shared" si="21"/>
        <v>147</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2511</v>
      </c>
      <c r="AZ23" s="197">
        <f>SUBTOTAL(9,AZ15:AZ22)</f>
        <v>4459</v>
      </c>
      <c r="BA23" s="197">
        <f>SUBTOTAL(9,BA15:BA22)</f>
        <v>4714</v>
      </c>
      <c r="BB23" s="197">
        <f>SUBTOTAL(9,BB15:BB22)</f>
        <v>2185</v>
      </c>
      <c r="BC23" s="197">
        <f>SUBTOTAL(9,BC15:BC22)</f>
        <v>995</v>
      </c>
      <c r="BD23" s="219">
        <f>IF(ISNUMBER(BA23/AZ23),BA23/AZ23," - ")</f>
        <v>1.0571877102489347</v>
      </c>
      <c r="BE23" s="220">
        <f>IF(ISNUMBER(BB23/BA23),BB23/BA23, " - ")</f>
        <v>0.46351294017819261</v>
      </c>
      <c r="BF23" s="220">
        <f>IF(ISNUMBER(BC23/BA23),BC23/BA23, " - ")</f>
        <v>0.21107339838778108</v>
      </c>
      <c r="BG23" s="221">
        <f>IF(ISNUMBER((AY23+AZ23)/BA23),(AY23+AZ23)/BA23," - ")</f>
        <v>1.4785744590581247</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6082</v>
      </c>
      <c r="J31" s="144">
        <f t="shared" si="36"/>
        <v>10307</v>
      </c>
      <c r="K31" s="144">
        <f t="shared" si="36"/>
        <v>10575</v>
      </c>
      <c r="L31" s="144">
        <f t="shared" si="36"/>
        <v>5992</v>
      </c>
      <c r="M31" s="144">
        <f t="shared" si="36"/>
        <v>2561</v>
      </c>
      <c r="N31" s="144">
        <f t="shared" si="36"/>
        <v>4445</v>
      </c>
      <c r="O31" s="144">
        <f t="shared" si="36"/>
        <v>1818</v>
      </c>
      <c r="P31" s="144">
        <f t="shared" si="36"/>
        <v>1558</v>
      </c>
      <c r="Q31" s="144">
        <f t="shared" si="36"/>
        <v>1113</v>
      </c>
      <c r="R31" s="144">
        <f t="shared" si="36"/>
        <v>6281</v>
      </c>
      <c r="S31" s="144">
        <f t="shared" si="36"/>
        <v>6580</v>
      </c>
      <c r="T31" s="144">
        <f t="shared" si="36"/>
        <v>9513</v>
      </c>
      <c r="U31" s="144">
        <f t="shared" si="36"/>
        <v>10295</v>
      </c>
      <c r="V31" s="144">
        <f t="shared" si="36"/>
        <v>6082</v>
      </c>
      <c r="W31" s="144">
        <f t="shared" si="36"/>
        <v>2349</v>
      </c>
      <c r="X31" s="144">
        <f t="shared" si="36"/>
        <v>4271</v>
      </c>
      <c r="Y31" s="144">
        <f t="shared" si="36"/>
        <v>47</v>
      </c>
      <c r="Z31" s="144">
        <f t="shared" si="36"/>
        <v>466</v>
      </c>
      <c r="AA31" s="144">
        <f t="shared" si="36"/>
        <v>430</v>
      </c>
      <c r="AB31" s="144">
        <f t="shared" si="36"/>
        <v>83</v>
      </c>
      <c r="AC31" s="144">
        <f t="shared" si="36"/>
        <v>147</v>
      </c>
      <c r="AD31" s="144">
        <f t="shared" si="36"/>
        <v>622</v>
      </c>
      <c r="AE31" s="144">
        <f t="shared" si="36"/>
        <v>748</v>
      </c>
      <c r="AF31" s="144">
        <f t="shared" si="36"/>
        <v>21</v>
      </c>
      <c r="AG31" s="144">
        <f t="shared" si="36"/>
        <v>66</v>
      </c>
      <c r="AH31" s="144">
        <f t="shared" si="36"/>
        <v>537</v>
      </c>
      <c r="AI31" s="144">
        <f t="shared" si="36"/>
        <v>556</v>
      </c>
      <c r="AJ31" s="144">
        <f t="shared" si="36"/>
        <v>47</v>
      </c>
      <c r="AK31" s="144">
        <f t="shared" si="36"/>
        <v>0</v>
      </c>
      <c r="AL31" s="144">
        <f t="shared" si="36"/>
        <v>190</v>
      </c>
      <c r="AM31" s="144">
        <f t="shared" si="36"/>
        <v>43</v>
      </c>
      <c r="AN31" s="224">
        <f t="shared" si="36"/>
        <v>147</v>
      </c>
      <c r="AO31" s="225">
        <v>7</v>
      </c>
      <c r="AP31" s="225">
        <v>6</v>
      </c>
      <c r="AQ31" s="225">
        <v>6</v>
      </c>
      <c r="AR31" s="225">
        <v>6</v>
      </c>
      <c r="AS31" s="166">
        <f t="shared" si="36"/>
        <v>0</v>
      </c>
      <c r="AT31" s="166">
        <f t="shared" si="36"/>
        <v>0</v>
      </c>
      <c r="AU31" s="225"/>
      <c r="AV31" s="226"/>
      <c r="AW31" s="225"/>
      <c r="AX31" s="226"/>
      <c r="AY31" s="143">
        <f>SUBTOTAL(9,AY9:AY30)</f>
        <v>6646</v>
      </c>
      <c r="AZ31" s="144">
        <f>SUBTOTAL(9,AZ9:AZ30)</f>
        <v>10050</v>
      </c>
      <c r="BA31" s="144">
        <f>SUBTOTAL(9,BA9:BA30)</f>
        <v>10851</v>
      </c>
      <c r="BB31" s="144">
        <f>SUBTOTAL(9,BB9:BB30)</f>
        <v>6129</v>
      </c>
      <c r="BC31" s="145">
        <f>SUBTOTAL(9,BC9:BC30)</f>
        <v>2864</v>
      </c>
      <c r="BD31" s="227">
        <f>IF(ISNUMBER(BA31/AZ31),BA31/AZ31," - ")</f>
        <v>1.0797014925373134</v>
      </c>
      <c r="BE31" s="224">
        <f>IF(ISNUMBER(BB31/BA31),BB31/BA31, " - ")</f>
        <v>0.56483273431020187</v>
      </c>
      <c r="BF31" s="224">
        <f>IF(ISNUMBER(BC31/BA31),BC31/BA31, " - ")</f>
        <v>0.26393880748318127</v>
      </c>
      <c r="BG31" s="145">
        <f>IF(ISNUMBER((AY31+AZ31)/BA31),(AY31+AZ31)/BA31," - ")</f>
        <v>1.5386600313335177</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vWMH2oiD5bKnl6aMlE+0qYvhZIK7zwLofGwZXKdcLl4X7DQ6RGXXnBHCtCSAlPjIq1lkW9GksFUKdedyVjJMg==" saltValue="LPI7VQNA8GMBL3h+eB4Dv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hJO//YzTms92l58S/EATwBT7fudP0I1YNSy5GD/EgNr2M5oAy/AbPqEk2K9vyMvBVCVVa3pS3MsnZU+lJXYAg==" saltValue="sPXLd4h9Y6ZrsPhAhPM4u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CHICLANA DE LA FRONTERA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28</v>
      </c>
      <c r="G10" s="543">
        <f>IF(ISNUMBER(Datos!I10),Datos!I10," - ")</f>
        <v>28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34</v>
      </c>
      <c r="AC10" s="547">
        <f>IF(ISNUMBER(Datos!Q10),Datos!Q10," - ")</f>
        <v>2</v>
      </c>
      <c r="AD10" s="549"/>
      <c r="AE10" s="563"/>
      <c r="AF10" s="551">
        <f>IF(ISNUMBER(Datos!L10),Datos!L10,"-")</f>
        <v>24</v>
      </c>
      <c r="AG10" s="549"/>
      <c r="AH10" s="549"/>
      <c r="AI10" s="549"/>
      <c r="AJ10" s="549"/>
      <c r="AK10" s="549"/>
      <c r="AL10" s="550"/>
      <c r="AM10" s="766">
        <f>IF(ISNUMBER(Datos!R10),Datos!R10," - ")</f>
        <v>41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18</v>
      </c>
      <c r="BD10" s="693">
        <f>IF(ISNUMBER(Datos!N10),Datos!N10," - ")</f>
        <v>12</v>
      </c>
      <c r="BE10" s="693" t="str">
        <f>IF(ISNUMBER(Datos!BW10),Datos!BW10," - ")</f>
        <v xml:space="preserve"> - </v>
      </c>
      <c r="BF10" s="762" t="str">
        <f>IF(ISNUMBER(Datos!BX10),Datos!BX10," - ")</f>
        <v xml:space="preserve"> - </v>
      </c>
      <c r="BG10" s="763">
        <f>IF(ISNUMBER(Datos!K10/Datos!J10),Datos!K10/Datos!J10," - ")</f>
        <v>1.1333333333333333</v>
      </c>
      <c r="BH10" s="764">
        <f>IF(ISNUMBER(((Datos!L10/Datos!K10)*11)/factor_trimestre),((Datos!L10/Datos!K10)*11)/factor_trimestre," - ")</f>
        <v>7.764705882352942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466</v>
      </c>
      <c r="O12" s="549"/>
      <c r="P12" s="549"/>
      <c r="Q12" s="547">
        <f>IF(ISNUMBER(Datos!P12),Datos!P12,0)</f>
        <v>1377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970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83</v>
      </c>
      <c r="AI12" s="549" t="str">
        <f>IF(ISNUMBER(Datos!CD12),Datos!CD12,"-")</f>
        <v>-</v>
      </c>
      <c r="AJ12" s="549" t="str">
        <f>IF(ISNUMBER(Datos!EN12),Datos!EN12," - ")</f>
        <v xml:space="preserve"> - </v>
      </c>
      <c r="AK12" s="549"/>
      <c r="AL12" s="550"/>
      <c r="AM12" s="766">
        <f>IF(ISNUMBER(Datos!R12),Datos!R12," - ")</f>
        <v>5904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1334</v>
      </c>
      <c r="BD12" s="693">
        <f>IF(ISNUMBER(Datos!N12),Datos!N12," - ")</f>
        <v>2048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1.0121429793056269</v>
      </c>
      <c r="BH12" s="764">
        <f>IF(ISNUMBER(((IF(J_V="SI",Datos!L12/Datos!K12,(Datos!L12+Datos!AB12)/(Datos!K12+Datos!AA12)))*11)/factor_trimestre),((IF(J_V="SI",Datos!L12/Datos!K12,(Datos!L12+Datos!AB12)/(Datos!K12+Datos!AA12)))*11)/factor_trimestre," - ")</f>
        <v>7.4200743494423795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7.4040385664908129E-2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6</v>
      </c>
      <c r="F14" s="1197">
        <f t="shared" si="1"/>
        <v>28</v>
      </c>
      <c r="G14" s="1197">
        <f t="shared" si="1"/>
        <v>28</v>
      </c>
      <c r="H14" s="1198">
        <f t="shared" si="1"/>
        <v>0</v>
      </c>
      <c r="I14" s="1197">
        <f t="shared" si="1"/>
        <v>0</v>
      </c>
      <c r="J14" s="1164">
        <f t="shared" si="1"/>
        <v>0</v>
      </c>
      <c r="K14" s="1164">
        <f t="shared" si="1"/>
        <v>0</v>
      </c>
      <c r="L14" s="1198">
        <f t="shared" si="1"/>
        <v>0</v>
      </c>
      <c r="M14" s="1198">
        <f t="shared" si="1"/>
        <v>0</v>
      </c>
      <c r="N14" s="1198">
        <f t="shared" si="1"/>
        <v>466</v>
      </c>
      <c r="O14" s="1199">
        <f t="shared" si="1"/>
        <v>0</v>
      </c>
      <c r="P14" s="1199">
        <f t="shared" si="1"/>
        <v>0</v>
      </c>
      <c r="Q14" s="1198">
        <f t="shared" si="1"/>
        <v>1379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34</v>
      </c>
      <c r="AC14" s="1198">
        <f t="shared" si="2"/>
        <v>972</v>
      </c>
      <c r="AD14" s="1198">
        <f t="shared" si="2"/>
        <v>0</v>
      </c>
      <c r="AE14" s="1198">
        <f t="shared" si="2"/>
        <v>0</v>
      </c>
      <c r="AF14" s="1198">
        <f t="shared" si="2"/>
        <v>24</v>
      </c>
      <c r="AG14" s="1198">
        <f t="shared" si="2"/>
        <v>0</v>
      </c>
      <c r="AH14" s="1198">
        <f t="shared" si="2"/>
        <v>83</v>
      </c>
      <c r="AI14" s="1198">
        <f t="shared" si="2"/>
        <v>0</v>
      </c>
      <c r="AJ14" s="1198">
        <f t="shared" si="2"/>
        <v>0</v>
      </c>
      <c r="AK14" s="1198">
        <f t="shared" si="2"/>
        <v>0</v>
      </c>
      <c r="AL14" s="1198">
        <f t="shared" si="2"/>
        <v>0</v>
      </c>
      <c r="AM14" s="1198">
        <f t="shared" si="2"/>
        <v>5945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1352</v>
      </c>
      <c r="BD14" s="1198">
        <f t="shared" si="2"/>
        <v>2060</v>
      </c>
      <c r="BE14" s="1198">
        <f t="shared" si="2"/>
        <v>0</v>
      </c>
      <c r="BF14" s="1198">
        <f t="shared" si="2"/>
        <v>0</v>
      </c>
      <c r="BG14" s="1198">
        <f>IF(ISNUMBER(Datos!K14/Datos!J14),Datos!K14/Datos!J14," - ")</f>
        <v>1.0205137682498613</v>
      </c>
      <c r="BH14" s="1202">
        <f>IF(ISNUMBER(((Datos!L14/Datos!K14)*11)/factor_trimestre),((Datos!L14/Datos!K14)*11)/factor_trimestre," - ")</f>
        <v>7.8346613545816739</v>
      </c>
      <c r="BI14" s="1198">
        <f>IF(ISNUMBER('Resol  Asuntos'!D14/NºAsuntos!G14),'Resol  Asuntos'!D14/NºAsuntos!G14," - ")</f>
        <v>0.22715053763440859</v>
      </c>
      <c r="BJ14" s="1198" t="str">
        <f>IF(ISNUMBER(Datos!CI14/Datos!CJ14),Datos!CI14/Datos!CJ14," - ")</f>
        <v xml:space="preserve"> - </v>
      </c>
      <c r="BK14" s="1198">
        <f>SUBTOTAL(9,BK8:BK13)</f>
        <v>0</v>
      </c>
      <c r="BL14" s="1198">
        <f>IF(ISNUMBER((I14-AB14+L14)/(F14)),(I14-AB14+L14)/(F14)," - ")</f>
        <v>-1.2142857142857142</v>
      </c>
      <c r="BM14" s="1203">
        <f>SUBTOTAL(9,BM9:BM13)</f>
        <v>7.4040385664908129E-2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2069</v>
      </c>
      <c r="G17" s="743">
        <f>IF(ISNUMBER(IF(D_I="SI",Datos!I17,Datos!I17+Datos!AC17)),IF(D_I="SI",Datos!I17,Datos!I17+Datos!AC17)," - ")</f>
        <v>2038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4528</v>
      </c>
      <c r="AC17" s="240">
        <f>IF(ISNUMBER(Datos!Q17),Datos!Q17," - ")</f>
        <v>140</v>
      </c>
      <c r="AD17" s="374"/>
      <c r="AE17" s="562"/>
      <c r="AF17" s="741">
        <f>IF(ISNUMBER(IF(D_I="SI",Datos!L17,Datos!L17+Datos!AF17)),IF(D_I="SI",Datos!L17,Datos!L17+Datos!AF17)," - ")</f>
        <v>1995</v>
      </c>
      <c r="AG17" s="374"/>
      <c r="AH17" s="374"/>
      <c r="AI17" s="374"/>
      <c r="AJ17" s="549"/>
      <c r="AK17" s="374"/>
      <c r="AL17" s="545"/>
      <c r="AM17" s="375">
        <f>IF(ISNUMBER(Datos!R17),Datos!R17," - ")</f>
        <v>334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1116</v>
      </c>
      <c r="BD17" s="243">
        <f>IF(ISNUMBER(Datos!N17),Datos!N17," - ")</f>
        <v>2101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1.0166142792995061</v>
      </c>
      <c r="BH17" s="764">
        <f>IF(ISNUMBER(((IF(D_I="SI",Datos!L17/Datos!K17,(Datos!L17+Datos!AF17)/(Datos!K17+Datos!AE17)))*11)/factor_trimestre),((IF(D_I="SI",Datos!L17/Datos!K17,(Datos!L17+Datos!AF17)/(Datos!K17+Datos!AE17)))*11)/factor_trimestre," - ")</f>
        <v>4.846510600706714</v>
      </c>
      <c r="BI17" s="266">
        <f>IF(ISNUMBER('Resol  Asuntos'!D17/NºAsuntos!G17),'Resol  Asuntos'!D17/NºAsuntos!G17," - ")</f>
        <v>0.24646643109540636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525</v>
      </c>
      <c r="AC18" s="547">
        <f>IF(ISNUMBER(Datos!Q18),Datos!Q18," - ")</f>
        <v>1</v>
      </c>
      <c r="AD18" s="549"/>
      <c r="AE18" s="562"/>
      <c r="AF18" s="551">
        <f>IF(ISNUMBER(Datos!L18),Datos!L18,"-")</f>
        <v>64</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93</v>
      </c>
      <c r="BD18" s="693">
        <f>IF(ISNUMBER(Datos!N18),Datos!N18," - ")</f>
        <v>284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1.1877828054298643</v>
      </c>
      <c r="BH18" s="764">
        <f>IF(ISNUMBER(((IF(D_I="SI",Datos!L18/Datos!K18,(Datos!L18+Datos!AF18)/(Datos!K18+Datos!AE18)))*11)/factor_trimestre),((IF(D_I="SI",Datos!L18/Datos!K18,(Datos!L18+Datos!AF18)/(Datos!K18+Datos!AE18)))*11)/factor_trimestre," - ")</f>
        <v>1.3409523809523809</v>
      </c>
      <c r="BI18" s="763">
        <f>IF(ISNUMBER('Resol  Asuntos'!D18/NºAsuntos!G18),'Resol  Asuntos'!D18/NºAsuntos!G18," - ")</f>
        <v>0.17714285714285713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6</v>
      </c>
      <c r="F23" s="1197">
        <f>SUBTOTAL(9,F16:F22)</f>
        <v>2069</v>
      </c>
      <c r="G23" s="1197">
        <f>SUBTOTAL(9,G16:G22)</f>
        <v>2185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5053</v>
      </c>
      <c r="AC23" s="1198">
        <f t="shared" si="5"/>
        <v>141</v>
      </c>
      <c r="AD23" s="1198">
        <f t="shared" si="5"/>
        <v>0</v>
      </c>
      <c r="AE23" s="1198">
        <f t="shared" si="5"/>
        <v>0</v>
      </c>
      <c r="AF23" s="1198">
        <f t="shared" si="5"/>
        <v>2059</v>
      </c>
      <c r="AG23" s="1198">
        <f t="shared" si="5"/>
        <v>0</v>
      </c>
      <c r="AH23" s="1198">
        <f t="shared" si="5"/>
        <v>0</v>
      </c>
      <c r="AI23" s="1198">
        <f t="shared" si="5"/>
        <v>0</v>
      </c>
      <c r="AJ23" s="1198">
        <f t="shared" si="5"/>
        <v>0</v>
      </c>
      <c r="AK23" s="1198">
        <f t="shared" si="5"/>
        <v>0</v>
      </c>
      <c r="AL23" s="1198">
        <f t="shared" si="5"/>
        <v>0</v>
      </c>
      <c r="AM23" s="1198">
        <f t="shared" si="5"/>
        <v>336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1209</v>
      </c>
      <c r="BD23" s="1198">
        <f t="shared" si="5"/>
        <v>2385</v>
      </c>
      <c r="BE23" s="1198">
        <f t="shared" si="5"/>
        <v>0</v>
      </c>
      <c r="BF23" s="1198">
        <f t="shared" si="5"/>
        <v>0</v>
      </c>
      <c r="BG23" s="1198">
        <f>IF(ISNUMBER(Datos!K23/Datos!J23),Datos!K23/Datos!J23," - ")</f>
        <v>1.0320669934640523</v>
      </c>
      <c r="BH23" s="1202">
        <f>IF(ISNUMBER(((Datos!L23/Datos!K23)*11)/factor_trimestre),((Datos!L23/Datos!K23)*11)/factor_trimestre," - ")</f>
        <v>4.4822877498515732</v>
      </c>
      <c r="BI23" s="1198">
        <f>SUBTOTAL(9,BI16:BI22)</f>
        <v>0.42360928823826349</v>
      </c>
      <c r="BJ23" s="1198">
        <f>SUBTOTAL(9,BJ16:BJ22)</f>
        <v>0</v>
      </c>
      <c r="BK23" s="1198">
        <f>SUBTOTAL(9,BK16:BK22)</f>
        <v>0</v>
      </c>
      <c r="BL23" s="1198">
        <f>IF(ISNUMBER((I23-AB23+L23)/(F23)),(I23-AB23+L23)/(F23)," - ")</f>
        <v>-2.4422426292895119</v>
      </c>
      <c r="BM23" s="1205">
        <f>IF(ISNUMBER((Datos!P23-Datos!Q23)/(Datos!R23-Datos!P23+Datos!Q23)),(Datos!P23-Datos!Q23)/(Datos!R23-Datos!P23+Datos!Q23)," - ")</f>
        <v>0.12751677852348994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12</v>
      </c>
      <c r="F31" s="1117">
        <f t="shared" si="18"/>
        <v>2097</v>
      </c>
      <c r="G31" s="1117">
        <f t="shared" si="18"/>
        <v>2213</v>
      </c>
      <c r="H31" s="1119">
        <f t="shared" si="18"/>
        <v>0</v>
      </c>
      <c r="I31" s="1117">
        <f t="shared" si="18"/>
        <v>0</v>
      </c>
      <c r="J31" s="1119">
        <f t="shared" si="18"/>
        <v>0</v>
      </c>
      <c r="K31" s="1119">
        <f t="shared" si="18"/>
        <v>0</v>
      </c>
      <c r="L31" s="1180">
        <f t="shared" si="18"/>
        <v>0</v>
      </c>
      <c r="M31" s="1180">
        <f t="shared" si="18"/>
        <v>0</v>
      </c>
      <c r="N31" s="1180">
        <f t="shared" si="18"/>
        <v>466</v>
      </c>
      <c r="O31" s="1180">
        <f t="shared" si="18"/>
        <v>0</v>
      </c>
      <c r="P31" s="1180">
        <f t="shared" si="18"/>
        <v>0</v>
      </c>
      <c r="Q31" s="1119">
        <f t="shared" si="18"/>
        <v>1558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5087</v>
      </c>
      <c r="AC31" s="1118">
        <f t="shared" si="19"/>
        <v>1113</v>
      </c>
      <c r="AD31" s="1118">
        <f t="shared" si="19"/>
        <v>0</v>
      </c>
      <c r="AE31" s="1118">
        <f t="shared" si="19"/>
        <v>0</v>
      </c>
      <c r="AF31" s="1125">
        <f t="shared" si="19"/>
        <v>2083</v>
      </c>
      <c r="AG31" s="1125">
        <f t="shared" si="19"/>
        <v>0</v>
      </c>
      <c r="AH31" s="1125">
        <f t="shared" si="19"/>
        <v>83</v>
      </c>
      <c r="AI31" s="1125">
        <f t="shared" si="19"/>
        <v>0</v>
      </c>
      <c r="AJ31" s="1118">
        <f t="shared" si="19"/>
        <v>0</v>
      </c>
      <c r="AK31" s="1125">
        <f t="shared" si="19"/>
        <v>0</v>
      </c>
      <c r="AL31" s="1125">
        <f t="shared" si="19"/>
        <v>0</v>
      </c>
      <c r="AM31" s="1125">
        <f t="shared" si="19"/>
        <v>6281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2561</v>
      </c>
      <c r="BD31" s="1117">
        <f t="shared" si="19"/>
        <v>4445</v>
      </c>
      <c r="BE31" s="1117">
        <f t="shared" si="19"/>
        <v>0</v>
      </c>
      <c r="BF31" s="1127">
        <f t="shared" si="19"/>
        <v>0</v>
      </c>
      <c r="BG31" s="1223">
        <f>IF(ISNUMBER(Datos!K31/Datos!J31),Datos!K31/Datos!J31," - ")</f>
        <v>1.0260017463859512</v>
      </c>
      <c r="BH31" s="1223">
        <f>IF(ISNUMBER(((Datos!L31/Datos!K31)*11)/factor_trimestre),((Datos!L31/Datos!K31)*11)/factor_trimestre," - ")</f>
        <v>6.2328132387706852</v>
      </c>
      <c r="BI31" s="1103">
        <f>IF(ISNUMBER(Datos!J31/Datos!I31),Datos!J31/Datos!I31," - ")</f>
        <v>1.6946728049983557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-2.4258464473056747</v>
      </c>
      <c r="BM31" s="1188">
        <f>IF(ISNUMBER((Datos!P31-Datos!Q31+R31)/(Datos!R31-Datos!P31+Datos!Q31-R31)),(Datos!P31-Datos!Q31+R31)/(Datos!R31-Datos!P31+Datos!Q31-R31)," - ")</f>
        <v>7.6250856751199456E-2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632.28571428571433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1061.2713130957607</v>
      </c>
      <c r="G33" s="674">
        <f>IF(ISNUMBER(STDEV(G8:G30)),STDEV(G8:G30),"-")</f>
        <v>1012.6162014448374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2292.245904285639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659.45968142758466</v>
      </c>
      <c r="BD33" s="673"/>
      <c r="BE33" s="673">
        <f>IF(ISNUMBER(STDEV(BE8:BE30)),STDEV(BE8:BE30),"-")</f>
        <v>0</v>
      </c>
      <c r="BF33" s="678">
        <f>IF(ISNUMBER(STDEV(BF8:BF30)),STDEV(BF8:BF30),"-")</f>
        <v>0</v>
      </c>
      <c r="BG33" s="1052">
        <f>IF(ISNUMBER(STDEV(BG8:BG30)),STDEV(BG8:BG30),"-")</f>
        <v>7.4723304369939972E-2</v>
      </c>
      <c r="BH33" s="1058">
        <f>IF(ISNUMBER(STDEV(BH8:BH30)),STDEV(BH8:BH30),"-")</f>
        <v>2.567002970636576</v>
      </c>
      <c r="BI33" s="273">
        <f>IF(ISNUMBER(STDEV(BI8:BI30)),STDEV(BI8:BI30),"-")</f>
        <v>0.10739373194634663</v>
      </c>
      <c r="BJ33" s="244" t="str">
        <f>IF(ISNUMBER(BL33/BM33),BL33/BM33," - ")</f>
        <v xml:space="preserve"> - </v>
      </c>
      <c r="BK33" s="709"/>
      <c r="BL33" s="681">
        <f>IF(ISNUMBER(STDEV(BL8:BL30)),STDEV(BL8:BL30),"-")</f>
        <v>0.86829666160409846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VKFfW7b6fqXgxJYpnpjCsN2AP1pswWTS/cKtDOXwaJ9x/Dt11Sq2zFhte5YovGxwbiQgst9qE4xO5UJNq3mxPQ==" saltValue="VX8+PQq3ZlJ0L+RcQ1qaE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CHICLANA DE LA FRONTERA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28</v>
      </c>
      <c r="G10" s="552">
        <f>IF(ISNUMBER(Datos!I10),Datos!I10," - ")</f>
        <v>28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34</v>
      </c>
      <c r="Z10" s="805">
        <f>IF(ISNUMBER(Datos!Q10),Datos!Q10," - ")</f>
        <v>2</v>
      </c>
      <c r="AA10" s="551">
        <f>IF(ISNUMBER(Datos!L10),Datos!L10,"-")</f>
        <v>24</v>
      </c>
      <c r="AB10" s="549"/>
      <c r="AC10" s="549"/>
      <c r="AD10" s="563"/>
      <c r="AE10" s="563">
        <f>IF(ISNUMBER(Datos!R10),Datos!R10," - ")</f>
        <v>41</v>
      </c>
      <c r="AF10" s="693" t="str">
        <f>IF(ISNUMBER(Datos!BV10),Datos!BV10," - ")</f>
        <v xml:space="preserve"> - </v>
      </c>
      <c r="AG10" s="552" t="str">
        <f>IF(ISNUMBER(Datos!DV10),Datos!DV10," - ")</f>
        <v xml:space="preserve"> - </v>
      </c>
      <c r="AH10" s="553"/>
      <c r="AI10" s="554"/>
      <c r="AJ10" s="552">
        <f>IF(ISNUMBER(Datos!M10),Datos!M10," - ")</f>
        <v>18</v>
      </c>
      <c r="AK10" s="693">
        <f>IF(ISNUMBER(Datos!N10),Datos!N10," - ")</f>
        <v>12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7.764705882352942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1377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970</v>
      </c>
      <c r="AA12" s="551" t="str">
        <f>IF(ISNUMBER(IF(J_V="SI",Datos!L12,Datos!L12+Datos!AB12)-IF(Monitorios="SI",Datos!CD12,0)),
                          IF(J_V="SI",Datos!L12,Datos!L12+Datos!AB12)-IF(Monitorios="SI",Datos!CD12,0),
                          " - ")</f>
        <v xml:space="preserve"> - </v>
      </c>
      <c r="AB12" s="549"/>
      <c r="AC12" s="549"/>
      <c r="AD12" s="563"/>
      <c r="AE12" s="563">
        <f>IF(ISNUMBER(Datos!R12),Datos!R12," - ")</f>
        <v>5904</v>
      </c>
      <c r="AF12" s="693" t="str">
        <f>IF(ISNUMBER(Datos!BV12),Datos!BV12," - ")</f>
        <v xml:space="preserve"> - </v>
      </c>
      <c r="AG12" s="552" t="str">
        <f>IF(ISNUMBER(Datos!DV12),Datos!DV12," - ")</f>
        <v xml:space="preserve"> - </v>
      </c>
      <c r="AH12" s="553"/>
      <c r="AI12" s="554"/>
      <c r="AJ12" s="552">
        <f>IF(ISNUMBER(Datos!M12),Datos!M12," - ")</f>
        <v>1334</v>
      </c>
      <c r="AK12" s="693">
        <f>IF(ISNUMBER(Datos!N12),Datos!N12," - ")</f>
        <v>2048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7.4200743494423795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7.4040385664908129E-2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6</v>
      </c>
      <c r="F14" s="1197">
        <f>SUBTOTAL(9,F8:F13)</f>
        <v>28</v>
      </c>
      <c r="G14" s="1197">
        <f>SUBTOTAL(9,G8:G13)</f>
        <v>28</v>
      </c>
      <c r="H14" s="1211"/>
      <c r="I14" s="1197">
        <f t="shared" ref="I14:N14" si="1">SUBTOTAL(9,I8:I13)</f>
        <v>0</v>
      </c>
      <c r="J14" s="1164">
        <f t="shared" si="1"/>
        <v>0</v>
      </c>
      <c r="K14" s="1211">
        <f t="shared" si="1"/>
        <v>0</v>
      </c>
      <c r="L14" s="1211">
        <f t="shared" si="1"/>
        <v>0</v>
      </c>
      <c r="M14" s="1211">
        <f t="shared" si="1"/>
        <v>0</v>
      </c>
      <c r="N14" s="1211">
        <f t="shared" si="1"/>
        <v>1379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34</v>
      </c>
      <c r="Z14" s="1210">
        <f t="shared" si="3"/>
        <v>972</v>
      </c>
      <c r="AA14" s="1199">
        <f t="shared" si="3"/>
        <v>24</v>
      </c>
      <c r="AB14" s="1199">
        <f t="shared" si="3"/>
        <v>0</v>
      </c>
      <c r="AC14" s="1199">
        <f t="shared" si="3"/>
        <v>0</v>
      </c>
      <c r="AD14" s="1199">
        <f t="shared" si="3"/>
        <v>0</v>
      </c>
      <c r="AE14" s="1199">
        <f t="shared" si="3"/>
        <v>5945</v>
      </c>
      <c r="AF14" s="1211">
        <f t="shared" si="3"/>
        <v>0</v>
      </c>
      <c r="AG14" s="1211">
        <f t="shared" si="3"/>
        <v>0</v>
      </c>
      <c r="AH14" s="1211">
        <f t="shared" si="3"/>
        <v>0</v>
      </c>
      <c r="AI14" s="1211">
        <f t="shared" si="3"/>
        <v>0</v>
      </c>
      <c r="AJ14" s="1211">
        <f t="shared" si="3"/>
        <v>1352</v>
      </c>
      <c r="AK14" s="1211">
        <f t="shared" si="3"/>
        <v>2060</v>
      </c>
      <c r="AL14" s="1211">
        <f t="shared" si="3"/>
        <v>0</v>
      </c>
      <c r="AM14" s="1211">
        <f t="shared" si="3"/>
        <v>0</v>
      </c>
      <c r="AN14" s="1211">
        <f t="shared" si="3"/>
        <v>0</v>
      </c>
      <c r="AO14" s="1203">
        <f>IF(ISNUMBER(((NºAsuntos!I14/NºAsuntos!G14)*11)/factor_trimestre),((NºAsuntos!I14/NºAsuntos!G14)*11)/factor_trimestre," - ")</f>
        <v>7.422043010752688</v>
      </c>
      <c r="AP14" s="1213" t="str">
        <f>IF(ISNUMBER(Datos!CI14/Datos!CJ14),Datos!CI14/Datos!CJ14," - ")</f>
        <v xml:space="preserve"> - </v>
      </c>
      <c r="AQ14" s="1236">
        <f t="shared" ref="AQ14:AV14" si="4">SUBTOTAL(9,AQ9:AQ13)</f>
        <v>0</v>
      </c>
      <c r="AR14" s="1236">
        <f t="shared" si="4"/>
        <v>7.4040385664908129E-2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2069</v>
      </c>
      <c r="G17" s="552">
        <f>IF(ISNUMBER(IF(D_I="SI",Datos!I17,Datos!I17+Datos!AC17)),IF(D_I="SI",Datos!I17,Datos!I17+Datos!AC17)," - ")</f>
        <v>2038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4528</v>
      </c>
      <c r="Z17" s="805">
        <f>IF(ISNUMBER(Datos!Q17),Datos!Q17," - ")</f>
        <v>140</v>
      </c>
      <c r="AA17" s="551">
        <f>IF(ISNUMBER(IF(D_I="SI",Datos!L17,Datos!L17+Datos!AF17)),IF(D_I="SI",Datos!L17,Datos!L17+Datos!AF17)," - ")</f>
        <v>1995</v>
      </c>
      <c r="AB17" s="549"/>
      <c r="AC17" s="549"/>
      <c r="AD17" s="563"/>
      <c r="AE17" s="563">
        <f>IF(ISNUMBER(Datos!R17),Datos!R17," - ")</f>
        <v>334</v>
      </c>
      <c r="AF17" s="693" t="str">
        <f>IF(ISNUMBER(Datos!BV17),Datos!BV17," - ")</f>
        <v xml:space="preserve"> - </v>
      </c>
      <c r="AG17" s="552"/>
      <c r="AH17" s="553"/>
      <c r="AI17" s="554"/>
      <c r="AJ17" s="552">
        <f>IF(ISNUMBER(Datos!M17),Datos!M17," - ")</f>
        <v>1116</v>
      </c>
      <c r="AK17" s="693">
        <f>IF(ISNUMBER(Datos!N17),Datos!N17," - ")</f>
        <v>2101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4.846510600706714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525</v>
      </c>
      <c r="Z18" s="805">
        <f>IF(ISNUMBER(Datos!Q18),Datos!Q18," - ")</f>
        <v>1</v>
      </c>
      <c r="AA18" s="551">
        <f>IF(ISNUMBER(Datos!L18),Datos!L18,"-")</f>
        <v>64</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93</v>
      </c>
      <c r="AK18" s="693">
        <f>IF(ISNUMBER(Datos!N18),Datos!N18," - ")</f>
        <v>284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1.3409523809523809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6</v>
      </c>
      <c r="F23" s="1197">
        <f>SUBTOTAL(9,F16:F22)</f>
        <v>2069</v>
      </c>
      <c r="G23" s="1197">
        <f>SUBTOTAL(9,G16:G22)</f>
        <v>2185</v>
      </c>
      <c r="H23" s="1240">
        <f>SUBTOTAL(9,H16:H22)</f>
        <v>0</v>
      </c>
      <c r="I23" s="1217">
        <f>SUBTOTAL(9,I16:I22)</f>
        <v>0</v>
      </c>
      <c r="J23" s="1164">
        <f>SUBTOTAL(9,J15:J22)</f>
        <v>0</v>
      </c>
      <c r="K23" s="1240">
        <f t="shared" ref="K23:S23" si="5">SUBTOTAL(9,K16:K22)</f>
        <v>0</v>
      </c>
      <c r="L23" s="1240">
        <f t="shared" si="5"/>
        <v>0</v>
      </c>
      <c r="M23" s="1240">
        <f t="shared" si="5"/>
        <v>0</v>
      </c>
      <c r="N23" s="1240">
        <f t="shared" si="5"/>
        <v>179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5053</v>
      </c>
      <c r="Z23" s="1240">
        <f t="shared" si="6"/>
        <v>141</v>
      </c>
      <c r="AA23" s="1240">
        <f t="shared" si="6"/>
        <v>2059</v>
      </c>
      <c r="AB23" s="1240">
        <f t="shared" si="6"/>
        <v>0</v>
      </c>
      <c r="AC23" s="1240">
        <f t="shared" si="6"/>
        <v>0</v>
      </c>
      <c r="AD23" s="1240">
        <f t="shared" si="6"/>
        <v>0</v>
      </c>
      <c r="AE23" s="1240">
        <f t="shared" si="6"/>
        <v>336</v>
      </c>
      <c r="AF23" s="1240">
        <f t="shared" si="6"/>
        <v>0</v>
      </c>
      <c r="AG23" s="1240">
        <f t="shared" si="6"/>
        <v>0</v>
      </c>
      <c r="AH23" s="1240">
        <f t="shared" si="6"/>
        <v>0</v>
      </c>
      <c r="AI23" s="1240">
        <f t="shared" si="6"/>
        <v>0</v>
      </c>
      <c r="AJ23" s="1240">
        <f t="shared" si="6"/>
        <v>1209</v>
      </c>
      <c r="AK23" s="1240">
        <f t="shared" si="6"/>
        <v>2385</v>
      </c>
      <c r="AL23" s="1240">
        <f t="shared" si="6"/>
        <v>0</v>
      </c>
      <c r="AM23" s="1240">
        <f t="shared" si="6"/>
        <v>0</v>
      </c>
      <c r="AN23" s="1240">
        <f t="shared" si="6"/>
        <v>0</v>
      </c>
      <c r="AO23" s="1242">
        <f>IF(ISNUMBER(((NºAsuntos!I23/NºAsuntos!G23)*11)/factor_trimestre),((NºAsuntos!I23/NºAsuntos!G23)*11)/factor_trimestre," - ")</f>
        <v>4.4822877498515732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2097</v>
      </c>
      <c r="G31" s="1117">
        <f t="shared" si="12"/>
        <v>2213</v>
      </c>
      <c r="H31" s="1118">
        <f t="shared" si="12"/>
        <v>0</v>
      </c>
      <c r="I31" s="1117">
        <f t="shared" si="12"/>
        <v>0</v>
      </c>
      <c r="J31" s="1119">
        <f t="shared" si="12"/>
        <v>0</v>
      </c>
      <c r="K31" s="1117">
        <f t="shared" si="12"/>
        <v>0</v>
      </c>
      <c r="L31" s="1120">
        <f t="shared" si="12"/>
        <v>0</v>
      </c>
      <c r="M31" s="1117">
        <f t="shared" si="12"/>
        <v>0</v>
      </c>
      <c r="N31" s="1118">
        <f t="shared" si="12"/>
        <v>1558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5087</v>
      </c>
      <c r="Z31" s="1124">
        <f t="shared" si="13"/>
        <v>1113</v>
      </c>
      <c r="AA31" s="1125">
        <f t="shared" si="13"/>
        <v>2083</v>
      </c>
      <c r="AB31" s="1125">
        <f t="shared" si="13"/>
        <v>0</v>
      </c>
      <c r="AC31" s="1125">
        <f t="shared" si="13"/>
        <v>0</v>
      </c>
      <c r="AD31" s="1126">
        <f t="shared" si="13"/>
        <v>0</v>
      </c>
      <c r="AE31" s="1126">
        <f t="shared" si="13"/>
        <v>6281</v>
      </c>
      <c r="AF31" s="1127">
        <f t="shared" si="13"/>
        <v>0</v>
      </c>
      <c r="AG31" s="1128">
        <f t="shared" si="13"/>
        <v>0</v>
      </c>
      <c r="AH31" s="1129">
        <f t="shared" si="13"/>
        <v>0</v>
      </c>
      <c r="AI31" s="1127">
        <f t="shared" si="13"/>
        <v>0</v>
      </c>
      <c r="AJ31" s="1117">
        <f t="shared" si="13"/>
        <v>2561</v>
      </c>
      <c r="AK31" s="1117">
        <f t="shared" si="13"/>
        <v>4445</v>
      </c>
      <c r="AL31" s="1117">
        <f t="shared" si="13"/>
        <v>0</v>
      </c>
      <c r="AM31" s="1130">
        <f t="shared" si="13"/>
        <v>0</v>
      </c>
      <c r="AN31" s="1120">
        <f>IF(ISNUMBER(Datos!K31/Datos!J31),Datos!K31/Datos!J31," - ")</f>
        <v>1.0260017463859512</v>
      </c>
      <c r="AO31" s="1120">
        <f>IF(ISNUMBER(FIND("06",Criterios!A8,1)),(IF(ISNUMBER(((Datos!R31/Datos!Q31)*11)/factor_trimestre),((Datos!R31/Datos!Q31)*11)/factor_trimestre," - ")),(IF(ISNUMBER(((Datos!L31/Datos!K31)*11)/factor_trimestre),((Datos!L31/Datos!K31)*11)/factor_trimestre," - ")))</f>
        <v>6.2328132387706852</v>
      </c>
      <c r="AP31" s="1131" t="str">
        <f>IF(ISNUMBER(Datos!CI31/Datos!CJ31),Datos!CI31/Datos!CJ31," - ")</f>
        <v xml:space="preserve"> - </v>
      </c>
      <c r="AQ31" s="1131">
        <f>IF(OR(ISNUMBER(FIND("01",Criterios!A8,1)),ISNUMBER(FIND("02",Criterios!A8,1)),ISNUMBER(FIND("03",Criterios!A8,1)),ISNUMBER(FIND("04",Criterios!A8,1))),(J31-Y31+K31)/(F31-K31),(I31-Y31+K31)/(F31-K31))</f>
        <v>-2.4258464473056747</v>
      </c>
      <c r="AR31" s="1131">
        <f>IF(ISNUMBER((Datos!P31-Datos!Q31+O31)/(Datos!R31-Datos!P31+Datos!Q31-O31)),(Datos!P31-Datos!Q31+O31)/(Datos!R31-Datos!P31+Datos!Q31-O31)," - ")</f>
        <v>7.6250856751199456E-2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632.28571428571433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1061.2713130957607</v>
      </c>
      <c r="G33" s="674">
        <f>IF(ISNUMBER(STDEV(G8:G30)),STDEV(G8:G30),"-")</f>
        <v>1012.6162014448374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659.45968142758466</v>
      </c>
      <c r="AK33" s="276"/>
      <c r="AL33" s="276">
        <f>IF(ISNUMBER(STDEV(AL8:AL30)),STDEV(AL8:AL30),"-")</f>
        <v>0</v>
      </c>
      <c r="AM33" s="278">
        <f>IF(ISNUMBER(STDEV(AM8:AM30)),STDEV(AM8:AM30),"-")</f>
        <v>0</v>
      </c>
      <c r="AN33" s="660">
        <f>IF(ISNUMBER(STDEV(AN8:AN30)),STDEV(AN8:AN30),"-")</f>
        <v>0</v>
      </c>
      <c r="AO33" s="661">
        <f>IF(ISNUMBER(STDEV(AO8:AO30)),STDEV(AO8:AO30),"-")</f>
        <v>2.5003016790863168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vZJ4lwUlo1VujpVqqtwO6uznRCEITebibx/wfFQKn0KSAfmQ80u0olQHMNIwP9RYz0zomKG1+8+SIPj/7IUJw==" saltValue="CL1RB347++Pa09Q10nX4d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AeJuS7ZDCm1mbhy+teOYufcesh1h8RJtrjQW5pXMW8YV3P+wpRalq3QURz5x/GVwNxqQfCtmXNjoyZcPtQSRg==" saltValue="52AfqD4nVRQ4RmF9QmFU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MN1KYiPNf3YmlnR1KnUYbmTR7Q/haoasFuqgFCyBhkWhts7yFvFuthxPzzxwPlUHCGeRW6Ze0Tzh5bLVSqMNg==" saltValue="ifZSyzHYV2hvm+55Kq41K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CHICLANA DE LA FRONTERA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0.22715053763440859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0.16061968551146039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4ErEkPQL2FjvdoUuMD4L4BTM3lyFl1MYpfwx3KL6fDROEKNclLlqrHy/2xlROtFjEUp47qpUmG6CDoX6BxCVBw==" saltValue="zTJitQopRa/Nv4OYvFcdy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SaK/8LZd3kVFvdbNkiRV26PwvR48QnZQ/vszXioDyml1nH5uUUsHUcHDaCXK+X9jadVy4+zWR4z7r+ZQVkCyg==" saltValue="Cf1Q3V3Mx0A+rJ6FPtMi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CHICLANA DE LA FRONTERA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28</v>
      </c>
      <c r="D10" s="452">
        <f>IF(ISNUMBER(C10/Datos!BH10),C10/Datos!BH10," - ")</f>
        <v>28</v>
      </c>
      <c r="E10" s="451">
        <f>IF(ISNUMBER(Datos!J10),Datos!J10," - ")</f>
        <v>30</v>
      </c>
      <c r="F10" s="452">
        <f>IF(ISNUMBER(E10/B10),E10/B10," - ")</f>
        <v>30</v>
      </c>
      <c r="G10" s="451">
        <f>IF(ISNUMBER(Datos!K10),Datos!K10," - ")</f>
        <v>34</v>
      </c>
      <c r="H10" s="452">
        <f>IF(ISNUMBER(G10/B10),G10/B10," - ")</f>
        <v>34</v>
      </c>
      <c r="I10" s="451">
        <f>IF(ISNUMBER(Datos!L10),Datos!L10," - ")</f>
        <v>24</v>
      </c>
      <c r="J10" s="452">
        <f>IF(ISNUMBER(I10/B10),I10/B10," - ")</f>
        <v>24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3916</v>
      </c>
      <c r="D12" s="452">
        <f>IF(ISNUMBER(C12/Datos!BH12),C12/Datos!BH12," - ")</f>
        <v>652.66666666666663</v>
      </c>
      <c r="E12" s="451">
        <f>IF(ISNUMBER(IF(J_V="SI",Datos!J12,Datos!J12+Datos!Z12)),IF(J_V="SI",Datos!J12,Datos!J12+Datos!Z12)," - ")</f>
        <v>5847</v>
      </c>
      <c r="F12" s="452">
        <f>IF(ISNUMBER(E12/B12),E12/B12," - ")</f>
        <v>974.5</v>
      </c>
      <c r="G12" s="451">
        <f>IF(ISNUMBER(IF(J_V="SI",Datos!K12,Datos!K12+Datos!AA12)),IF(J_V="SI",Datos!K12,Datos!K12+Datos!AA12)," - ")</f>
        <v>5918</v>
      </c>
      <c r="H12" s="452">
        <f>IF(ISNUMBER(G12/B12),G12/B12," - ")</f>
        <v>986.33333333333337</v>
      </c>
      <c r="I12" s="451">
        <f>IF(ISNUMBER(IF(J_V="SI",Datos!L12,Datos!L12+Datos!AB12)),IF(J_V="SI",Datos!L12,Datos!L12+Datos!AB12)," - ")</f>
        <v>3992</v>
      </c>
      <c r="J12" s="452">
        <f>IF(ISNUMBER(I12/B12),I12/B12," - ")</f>
        <v>665.33333333333337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3944</v>
      </c>
      <c r="D14" s="1147" t="str">
        <f>IF(ISNUMBER(C14/Datos!BI14),C14/Datos!BI14," - ")</f>
        <v xml:space="preserve"> - </v>
      </c>
      <c r="E14" s="1146">
        <f>SUBTOTAL(9,E8:E13)</f>
        <v>5877</v>
      </c>
      <c r="F14" s="1147">
        <f>IF(ISNUMBER(E14/B14),E14/B14," - ")</f>
        <v>979.5</v>
      </c>
      <c r="G14" s="1146">
        <f>SUBTOTAL(9,G8:G13)</f>
        <v>5952</v>
      </c>
      <c r="H14" s="1147">
        <f>IF(ISNUMBER(G14/B14),G14/B14," - ")</f>
        <v>992</v>
      </c>
      <c r="I14" s="1146">
        <f>SUBTOTAL(9,I8:I13)</f>
        <v>4016</v>
      </c>
      <c r="J14" s="1147">
        <f>IF(ISNUMBER(I14/B14),I14/B14," - ")</f>
        <v>669.33333333333337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2038</v>
      </c>
      <c r="D17" s="452">
        <f>IF(ISNUMBER(C17/Datos!BH17),C17/Datos!BH17," - ")</f>
        <v>339.66666666666669</v>
      </c>
      <c r="E17" s="451">
        <f>IF(ISNUMBER(IF(D_I="SI",Datos!J17,Datos!J17+Datos!AD17)),IF(D_I="SI",Datos!J17,Datos!J17+Datos!AD17)," - ")</f>
        <v>4454</v>
      </c>
      <c r="F17" s="452">
        <f>IF(ISNUMBER(E17/B17),E17/B17," - ")</f>
        <v>742.33333333333337</v>
      </c>
      <c r="G17" s="451">
        <f>IF(ISNUMBER(IF(D_I="SI",Datos!K17,Datos!K17+Datos!AE17)),IF(D_I="SI",Datos!K17,Datos!K17+Datos!AE17)," - ")</f>
        <v>4528</v>
      </c>
      <c r="H17" s="452">
        <f>IF(ISNUMBER(G17/B17),G17/B17," - ")</f>
        <v>754.66666666666663</v>
      </c>
      <c r="I17" s="451">
        <f>IF(ISNUMBER(IF(D_I="SI",Datos!L17,Datos!L17+Datos!AF17)),IF(D_I="SI",Datos!L17,Datos!L17+Datos!AF17)," - ")</f>
        <v>1995</v>
      </c>
      <c r="J17" s="452">
        <f>IF(ISNUMBER(I17/B17),I17/B17," - ")</f>
        <v>332.5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147</v>
      </c>
      <c r="D18" s="452">
        <f>IF(ISNUMBER(C18/Datos!BH18),C18/Datos!BH18," - ")</f>
        <v>147</v>
      </c>
      <c r="E18" s="451">
        <f>IF(ISNUMBER(IF(D_I="SI",Datos!J18,Datos!J18+Datos!AD18)),IF(D_I="SI",Datos!J18,Datos!J18+Datos!AD18)," - ")</f>
        <v>442</v>
      </c>
      <c r="F18" s="452">
        <f>IF(ISNUMBER(E18/B18),E18/B18," - ")</f>
        <v>442</v>
      </c>
      <c r="G18" s="451">
        <f>IF(ISNUMBER(IF(D_I="SI",Datos!K18,Datos!K18+Datos!AE18)),IF(D_I="SI",Datos!K18,Datos!K18+Datos!AE18)," - ")</f>
        <v>525</v>
      </c>
      <c r="H18" s="452">
        <f>IF(ISNUMBER(G18/B18),G18/B18," - ")</f>
        <v>525</v>
      </c>
      <c r="I18" s="451">
        <f>IF(ISNUMBER(IF(D_I="SI",Datos!L18,Datos!L18+Datos!AF18)),IF(D_I="SI",Datos!L18,Datos!L18+Datos!AF18)," - ")</f>
        <v>64</v>
      </c>
      <c r="J18" s="452">
        <f>IF(ISNUMBER(I18/B18),I18/B18," - ")</f>
        <v>64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2185</v>
      </c>
      <c r="D23" s="1147" t="str">
        <f>IF(ISNUMBER(C23/Datos!BI23),C23/Datos!BI23," - ")</f>
        <v xml:space="preserve"> - </v>
      </c>
      <c r="E23" s="1146">
        <f>SUBTOTAL(9,E15:E22)</f>
        <v>4896</v>
      </c>
      <c r="F23" s="1147">
        <f>IF(ISNUMBER(E23/B23),E23/B23," - ")</f>
        <v>816</v>
      </c>
      <c r="G23" s="1146">
        <f>SUBTOTAL(9,G15:G22)</f>
        <v>5053</v>
      </c>
      <c r="H23" s="1147">
        <f>IF(ISNUMBER(G23/B23),G23/B23," - ")</f>
        <v>842.16666666666663</v>
      </c>
      <c r="I23" s="1146">
        <f>SUBTOTAL(9,I15:I22)</f>
        <v>2059</v>
      </c>
      <c r="J23" s="1147">
        <f>IF(ISNUMBER(I23/B23),I23/B23," - ")</f>
        <v>343.16666666666669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6129</v>
      </c>
      <c r="D31" s="1085" t="str">
        <f>IF(ISNUMBER(C31/Datos!BI31),C31/Datos!BI31," - ")</f>
        <v xml:space="preserve"> - </v>
      </c>
      <c r="E31" s="1084">
        <f>SUBTOTAL(9,E9:E30)</f>
        <v>10773</v>
      </c>
      <c r="F31" s="1085">
        <f>IF(ISNUMBER(E31/B31),E31/B31," - ")</f>
        <v>1795.5</v>
      </c>
      <c r="G31" s="1084">
        <f>SUBTOTAL(9,G9:G30)</f>
        <v>11005</v>
      </c>
      <c r="H31" s="1085">
        <f>IF(ISNUMBER(G31/B31),G31/B31," - ")</f>
        <v>1834.1666666666667</v>
      </c>
      <c r="I31" s="1084">
        <f>SUBTOTAL(9,I9:I30)</f>
        <v>6075</v>
      </c>
      <c r="J31" s="1085">
        <f>IF(ISNUMBER(I31/B31),I31/B31," - ")</f>
        <v>1012.5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dZxOJFTvnlOrI4FG30zba1N0+zeEItUQfDuZYPcFvsDTXTM44pubOCn+HZGeCHyWLZJXPN6bQArhFeNvoM7zsg==" saltValue="skpOSYfljUcgQeD1+Bu3j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CHICLANA DE LA FRONTERA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28</v>
      </c>
      <c r="G10" s="906">
        <f>IF(ISNUMBER(Datos!I10),Datos!I10," - ")</f>
        <v>28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34</v>
      </c>
      <c r="AC10" s="905" t="str">
        <f>IF(ISNUMBER(IF(D_I="SI",DatosP!K18,DatosP!K18+DatosP!AE18)),IF(D_I="SI",DatosP!K18,DatosP!K18+DatosP!AE18)," - ")</f>
        <v xml:space="preserve"> - </v>
      </c>
      <c r="AD10" s="907"/>
      <c r="AE10" s="907"/>
      <c r="AF10" s="910">
        <f>IF(ISNUMBER(Datos!L10),Datos!L10,"-")</f>
        <v>24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18</v>
      </c>
      <c r="AM10" s="914">
        <f>IF(ISNUMBER(Datos!N10+DatosP!N18),Datos!N10+DatosP!N18," - ")</f>
        <v>12</v>
      </c>
      <c r="AN10" s="914">
        <f>IF(ISNUMBER(Datos!BW10+DatosP!BW18),Datos!BW10+DatosP!BW18," - ")</f>
        <v>0</v>
      </c>
      <c r="AO10" s="915">
        <f>IF(ISNUMBER(Datos!BX10+DatosP!BX18),Datos!BX10+DatosP!BX18," - ")</f>
        <v>0</v>
      </c>
      <c r="AP10" s="917">
        <f>IF(ISNUMBER(((Datos!L10/Datos!K10)*11)/factor_trimestre),((Datos!L10/Datos!K10)*11)/factor_trimestre," - ")</f>
        <v>7.764705882352942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1377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970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5904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1334</v>
      </c>
      <c r="AM12" s="914">
        <f>IF(ISNUMBER(Datos!N12+DatosP!N17),Datos!N12+DatosP!N17," - ")</f>
        <v>2048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7.4200743494423795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7.4040385664908129E-2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28</v>
      </c>
      <c r="G14" s="1256">
        <f t="shared" si="0"/>
        <v>28</v>
      </c>
      <c r="H14" s="1256">
        <f t="shared" si="0"/>
        <v>0</v>
      </c>
      <c r="I14" s="1258">
        <f t="shared" si="0"/>
        <v>0</v>
      </c>
      <c r="J14" s="1257">
        <f t="shared" si="0"/>
        <v>0</v>
      </c>
      <c r="K14" s="1257">
        <f t="shared" si="0"/>
        <v>0</v>
      </c>
      <c r="L14" s="1259">
        <f t="shared" si="0"/>
        <v>0</v>
      </c>
      <c r="M14" s="1259">
        <f t="shared" si="0"/>
        <v>0</v>
      </c>
      <c r="N14" s="1257">
        <f t="shared" si="0"/>
        <v>1379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34</v>
      </c>
      <c r="AC14" s="1257">
        <f t="shared" si="1"/>
        <v>0</v>
      </c>
      <c r="AD14" s="1257">
        <f t="shared" si="1"/>
        <v>970</v>
      </c>
      <c r="AE14" s="1257">
        <f t="shared" si="1"/>
        <v>0</v>
      </c>
      <c r="AF14" s="1257">
        <f t="shared" si="1"/>
        <v>24</v>
      </c>
      <c r="AG14" s="1257">
        <f t="shared" si="1"/>
        <v>0</v>
      </c>
      <c r="AH14" s="1257">
        <f t="shared" si="1"/>
        <v>5904</v>
      </c>
      <c r="AI14" s="1257">
        <f t="shared" si="1"/>
        <v>0</v>
      </c>
      <c r="AJ14" s="1257">
        <f t="shared" si="1"/>
        <v>0</v>
      </c>
      <c r="AK14" s="1257">
        <f t="shared" si="1"/>
        <v>0</v>
      </c>
      <c r="AL14" s="1257">
        <f t="shared" si="1"/>
        <v>1352</v>
      </c>
      <c r="AM14" s="1257">
        <f t="shared" si="1"/>
        <v>2060</v>
      </c>
      <c r="AN14" s="1257">
        <f t="shared" si="1"/>
        <v>0</v>
      </c>
      <c r="AO14" s="1257">
        <f t="shared" si="1"/>
        <v>0</v>
      </c>
      <c r="AP14" s="1262">
        <f>IF(ISNUMBER(((Datos!L14/Datos!K14)*11)/factor_trimestre),((Datos!L14/Datos!K14)*11)/factor_trimestre," - ")</f>
        <v>7.8346613545816739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-1.2142857142857142</v>
      </c>
      <c r="AU14" s="1257" t="str">
        <f>IF(ISNUMBER((DatosP!#REF!-DatosP!#REF!+DatosP!#REF!)/(DatosP!#REF!+DatosP!#REF!-DatosP!#REF!-DatosP!#REF!)),(DatosP!#REF!-DatosP!#REF!+DatosP!#REF!)/(DatosP!#REF!+DatosP!#REF!-DatosP!#REF!-DatosP!#REF!)," - ")</f>
        <v xml:space="preserve"> - </v>
      </c>
      <c r="AV14" s="1263">
        <f>SUBTOTAL(9,AV9:AV13)</f>
        <v>7.4040385664908129E-2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4.4822877498515732</v>
      </c>
      <c r="AQ23" s="1262">
        <f>IF(ISNUMBER(((Datos!M23/Datos!L23)*11)/factor_trimestre),((Datos!M23/Datos!L23)*11)/factor_trimestre," - ")</f>
        <v>6.4589606605148129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0.12751677852348994</v>
      </c>
      <c r="AW23" s="1265">
        <f>IF(ISNUMBER((Datos!Q23-Datos!R23)/(Datos!S23-Datos!Q23+Datos!R23)),(Datos!Q23-Datos!R23)/(Datos!S23-Datos!Q23+Datos!R23)," - ")</f>
        <v>-7.2062084257206213E-2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28</v>
      </c>
      <c r="G31" s="1278">
        <f t="shared" si="8"/>
        <v>28</v>
      </c>
      <c r="H31" s="1278">
        <f t="shared" si="8"/>
        <v>0</v>
      </c>
      <c r="I31" s="1279">
        <f t="shared" si="8"/>
        <v>0</v>
      </c>
      <c r="J31" s="1280">
        <f t="shared" si="8"/>
        <v>0</v>
      </c>
      <c r="K31" s="1280">
        <f t="shared" si="8"/>
        <v>0</v>
      </c>
      <c r="L31" s="1280">
        <f t="shared" si="8"/>
        <v>0</v>
      </c>
      <c r="M31" s="1280">
        <f t="shared" si="8"/>
        <v>0</v>
      </c>
      <c r="N31" s="1279">
        <f t="shared" si="8"/>
        <v>1379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34</v>
      </c>
      <c r="AC31" s="1284">
        <f t="shared" si="9"/>
        <v>0</v>
      </c>
      <c r="AD31" s="1284">
        <f t="shared" si="9"/>
        <v>970</v>
      </c>
      <c r="AE31" s="1284">
        <f t="shared" si="9"/>
        <v>0</v>
      </c>
      <c r="AF31" s="1285">
        <f t="shared" si="9"/>
        <v>24</v>
      </c>
      <c r="AG31" s="1285">
        <f t="shared" si="9"/>
        <v>0</v>
      </c>
      <c r="AH31" s="1285">
        <f t="shared" si="9"/>
        <v>5904</v>
      </c>
      <c r="AI31" s="1285">
        <f t="shared" si="9"/>
        <v>0</v>
      </c>
      <c r="AJ31" s="1286">
        <f t="shared" si="9"/>
        <v>0</v>
      </c>
      <c r="AK31" s="1286">
        <f t="shared" si="9"/>
        <v>0</v>
      </c>
      <c r="AL31" s="1278">
        <f t="shared" si="9"/>
        <v>1352</v>
      </c>
      <c r="AM31" s="1278">
        <f t="shared" si="9"/>
        <v>2060</v>
      </c>
      <c r="AN31" s="1278">
        <f t="shared" si="9"/>
        <v>0</v>
      </c>
      <c r="AO31" s="1278">
        <f t="shared" si="9"/>
        <v>0</v>
      </c>
      <c r="AP31" s="1278">
        <f>IF(ISNUMBER(((Datos!L31/Datos!K31)*11)/factor_trimestre),((Datos!L31/Datos!K31)*11)/factor_trimestre," - ")</f>
        <v>6.2328132387706852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-1.2142857142857142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7.6250856751199456E-2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15.336231610144651</v>
      </c>
      <c r="G33" s="1007">
        <f>IF(ISNUMBER(STDEV(G8:G30)),STDEV(G8:G30),"-")</f>
        <v>15.336231610144651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18.62256695517565</v>
      </c>
      <c r="AC33" s="1008">
        <f>IF(ISNUMBER(STDEV(AC8:AC30)),STDEV(AC8:AC30),"-")</f>
        <v>0</v>
      </c>
      <c r="AD33" s="1011"/>
      <c r="AE33" s="1011"/>
      <c r="AF33" s="1011"/>
      <c r="AG33" s="1011"/>
      <c r="AH33" s="1011"/>
      <c r="AI33" s="1011"/>
      <c r="AJ33" s="1012">
        <f>IF(ISNUMBER(STDEV(AJ8:AJ30)),STDEV(AJ8:AJ30),"-")</f>
        <v>0</v>
      </c>
      <c r="AK33" s="1014"/>
      <c r="AL33" s="1006">
        <f>IF(ISNUMBER(STDEV(AL8:AL30)),STDEV(AL8:AL30),"-")</f>
        <v>691.25701925308988</v>
      </c>
      <c r="AM33" s="1006"/>
      <c r="AN33" s="1006">
        <f>IF(ISNUMBER(STDEV(AN8:AN30)),STDEV(AN8:AN30),"-")</f>
        <v>0</v>
      </c>
      <c r="AO33" s="1012">
        <f>IF(ISNUMBER(STDEV(AO8:AO30)),STDEV(AO8:AO30),"-")</f>
        <v>0</v>
      </c>
      <c r="AP33" s="1065">
        <f>IF(ISNUMBER(STDEV(AP8:AP30)),STDEV(AP8:AP30),"-")</f>
        <v>1.6056881892561834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EjKAqL6+4Oe8USeoCX8ZvVT3WoUxI5/hcED3moMS3KaiieYtG53Wb19YDxsIOHUus+gWlN3EahmxiIsRHOhtMw==" saltValue="Y3VQAQdx1x7rR9sVRtc/p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CHICLANA DE LA FRONTERA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WyVfdXDqdl3O7k7zANdjP0708bUBzfl7js5oveNfRCfQ3TK4zxvtR2FByy9fVSwGnMvWSdpYzPAK27b18Upucw==" saltValue="uEf9NTG73+IjNxsF88Anc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CHICLANA DE LA FRONTERA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18</v>
      </c>
      <c r="E10" s="452">
        <f>IF(ISNUMBER(D10/B10),D10/B10," - ")</f>
        <v>18</v>
      </c>
      <c r="F10" s="451">
        <f>IF(ISNUMBER(Datos!N10),Datos!N10," - ")</f>
        <v>12</v>
      </c>
      <c r="G10" s="452">
        <f>IF(ISNUMBER(F10/B10),F10/B10," - ")</f>
        <v>12</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1334</v>
      </c>
      <c r="E12" s="452">
        <f t="shared" si="0"/>
        <v>222.33333333333334</v>
      </c>
      <c r="F12" s="451">
        <f>IF(ISNUMBER(Datos!N12),Datos!N12," - ")</f>
        <v>2048</v>
      </c>
      <c r="G12" s="452">
        <f t="shared" si="1"/>
        <v>341.33333333333331</v>
      </c>
      <c r="H12" s="451">
        <f>IF(ISNUMBER(Datos!O12),Datos!O12," - ")</f>
        <v>1770</v>
      </c>
      <c r="I12" s="452">
        <f t="shared" si="2"/>
        <v>295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1352</v>
      </c>
      <c r="E14" s="1147">
        <f t="shared" si="0"/>
        <v>193.14285714285714</v>
      </c>
      <c r="F14" s="1146">
        <f>SUBTOTAL(9,F9:F13)</f>
        <v>2060</v>
      </c>
      <c r="G14" s="1147">
        <f t="shared" si="1"/>
        <v>294.28571428571428</v>
      </c>
      <c r="H14" s="1146">
        <f>SUBTOTAL(9,H9:H13)</f>
        <v>1772</v>
      </c>
      <c r="I14" s="1147">
        <f>IF(ISNUMBER(H14/B14),H14/B14," - ")</f>
        <v>253.14285714285714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1116</v>
      </c>
      <c r="E17" s="452">
        <f t="shared" si="3"/>
        <v>186</v>
      </c>
      <c r="F17" s="451">
        <f>IF(ISNUMBER(Datos!N17),Datos!N17," - ")</f>
        <v>2101</v>
      </c>
      <c r="G17" s="452">
        <f t="shared" si="4"/>
        <v>350.16666666666669</v>
      </c>
      <c r="H17" s="451">
        <f>IF(ISNUMBER(Datos!O17),Datos!O17," - ")</f>
        <v>45</v>
      </c>
      <c r="I17" s="452">
        <f t="shared" si="5"/>
        <v>7.5</v>
      </c>
    </row>
    <row r="18" spans="1:9">
      <c r="A18" s="450" t="str">
        <f>Datos!A18</f>
        <v>Jdos. Violencia contra la mujer</v>
      </c>
      <c r="B18" s="480">
        <f>Datos!AO18</f>
        <v>1</v>
      </c>
      <c r="C18" s="481">
        <f>Datos!AQ18</f>
        <v>0</v>
      </c>
      <c r="D18" s="451">
        <f>IF(ISNUMBER(Datos!M18),Datos!M18," - ")</f>
        <v>93</v>
      </c>
      <c r="E18" s="452">
        <f>IF(ISNUMBER(D18/B18),D18/B18," - ")</f>
        <v>93</v>
      </c>
      <c r="F18" s="451">
        <f>IF(ISNUMBER(Datos!N18),Datos!N18," - ")</f>
        <v>284</v>
      </c>
      <c r="G18" s="452">
        <f>IF(ISNUMBER(F18/B18),F18/B18," - ")</f>
        <v>284</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1209</v>
      </c>
      <c r="E23" s="1147">
        <f t="shared" si="3"/>
        <v>172.71428571428572</v>
      </c>
      <c r="F23" s="1146">
        <f>SUBTOTAL(9,F16:F22)</f>
        <v>2385</v>
      </c>
      <c r="G23" s="1147">
        <f t="shared" si="4"/>
        <v>340.71428571428572</v>
      </c>
      <c r="H23" s="1146">
        <f>SUBTOTAL(9,H16:H22)</f>
        <v>46</v>
      </c>
      <c r="I23" s="1147">
        <f>IF(ISNUMBER(H23/B23),H23/B23," - ")</f>
        <v>6.5714285714285712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2561</v>
      </c>
      <c r="E31" s="1085">
        <f>IF(ISNUMBER(D31/B31),D31/B31," - ")</f>
        <v>426.83333333333331</v>
      </c>
      <c r="F31" s="1084">
        <f>SUBTOTAL(9,F8:F30)</f>
        <v>4445</v>
      </c>
      <c r="G31" s="1085">
        <f>IF(ISNUMBER(F31/B31),F31/B31," - ")</f>
        <v>740.83333333333337</v>
      </c>
      <c r="H31" s="1084">
        <f>SUBTOTAL(9,H8:H30)</f>
        <v>1818</v>
      </c>
      <c r="I31" s="1085">
        <f>IF(ISNUMBER(H31/B31),H31/B31," - ")</f>
        <v>303</v>
      </c>
    </row>
    <row r="34" spans="1:1">
      <c r="A34" s="439" t="str">
        <f>Criterios!A4</f>
        <v>Fecha Informe: 06 may. 2023</v>
      </c>
    </row>
    <row r="39" spans="1:1">
      <c r="A39" s="462"/>
    </row>
  </sheetData>
  <sheetProtection algorithmName="SHA-512" hashValue="IS4T4Ksb9ZBzOTtFJe9iAhmcWt1kNV8W/YU6/0r3kLnVKWy5xdrr3eYmskys8I+m0Io5z0rMJ4KGzS5TSTrm/g==" saltValue="u4ingxR+J6Wdr4UJV1Ry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CHICLANA DE LA FRONTERA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2</v>
      </c>
      <c r="D10" s="456">
        <f>IF(ISNUMBER(Datos!R10),Datos!R10," - ")</f>
        <v>41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1377</v>
      </c>
      <c r="C12" s="489">
        <f>IF(ISNUMBER(Datos!Q12),Datos!Q12," - ")</f>
        <v>970</v>
      </c>
      <c r="D12" s="456">
        <f>IF(ISNUMBER(Datos!R12),Datos!R12," - ")</f>
        <v>5904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1379</v>
      </c>
      <c r="C14" s="1150">
        <f>SUBTOTAL(9,C9:C13)</f>
        <v>972</v>
      </c>
      <c r="D14" s="1148">
        <f>SUBTOTAL(9,D9:D13)</f>
        <v>5945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179</v>
      </c>
      <c r="C17" s="489">
        <f>IF(ISNUMBER(Datos!Q17),Datos!Q17," - ")</f>
        <v>140</v>
      </c>
      <c r="D17" s="456">
        <f>IF(ISNUMBER(Datos!R17),Datos!R17," - ")</f>
        <v>334</v>
      </c>
    </row>
    <row r="18" spans="1:4">
      <c r="A18" s="450" t="str">
        <f>Datos!A18</f>
        <v>Jdos. Violencia contra la mujer</v>
      </c>
      <c r="B18" s="488">
        <f>IF(ISNUMBER(Datos!P18),Datos!P18," - ")</f>
        <v>0</v>
      </c>
      <c r="C18" s="489">
        <f>IF(ISNUMBER(Datos!Q18),Datos!Q18," - ")</f>
        <v>1</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179</v>
      </c>
      <c r="C23" s="1150">
        <f>SUBTOTAL(9,C16:C22)</f>
        <v>141</v>
      </c>
      <c r="D23" s="1148">
        <f>SUBTOTAL(9,D16:D22)</f>
        <v>336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1558</v>
      </c>
      <c r="C31" s="1089">
        <f>SUBTOTAL(9,C8:C30)</f>
        <v>1113</v>
      </c>
      <c r="D31" s="1090">
        <f>SUBTOTAL(9,D8:D30)</f>
        <v>6281</v>
      </c>
    </row>
    <row r="32" spans="1:4" ht="7.5" customHeight="1"/>
    <row r="33" spans="1:1" ht="6" customHeight="1"/>
    <row r="34" spans="1:1">
      <c r="A34" s="439" t="str">
        <f>Criterios!A4</f>
        <v>Fecha Informe: 06 may. 2023</v>
      </c>
    </row>
    <row r="39" spans="1:1">
      <c r="A39" s="462"/>
    </row>
  </sheetData>
  <sheetProtection algorithmName="SHA-512" hashValue="loQBkxyWPh8K+rMPcXEDa9LUhjrQuwSCNJG7IAOOZUTjHvDKrUSrufXSOZuvUyzmD3U7iELAUifoVNNfLbN3Xw==" saltValue="8/LGEIINTvGlo66nHUmi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CHICLANA DE LA FRONTERA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-0.47169811320754718</v>
      </c>
      <c r="C10" s="515">
        <f>IF(ISNUMBER((Datos!J10-Datos!T10)/Datos!T10),(Datos!J10-Datos!T10)/Datos!T10," - ")</f>
        <v>0.57894736842105265</v>
      </c>
      <c r="D10" s="515">
        <f>IF(ISNUMBER((Datos!K10-Datos!U10)/Datos!U10),(Datos!K10-Datos!U10)/Datos!U10," - ")</f>
        <v>0.30769230769230771</v>
      </c>
      <c r="E10" s="515">
        <f>IF(ISNUMBER((Datos!L10-Datos!V10)/Datos!V10),(Datos!L10-Datos!V10)/Datos!V10," - ")</f>
        <v>-0.14285714285714285</v>
      </c>
      <c r="F10" s="515">
        <f>IF(ISNUMBER((Datos!M10-Datos!W10)/Datos!W10),(Datos!M10-Datos!W10)/Datos!W10," - ")</f>
        <v>-0.28000000000000003</v>
      </c>
      <c r="G10" s="516" t="str">
        <f>IF(ISNUMBER((Datos!N10-Datos!X10)/Datos!X10),(Datos!N10-Datos!X10)/Datos!X10," - ")</f>
        <v xml:space="preserve"> - </v>
      </c>
      <c r="H10" s="514">
        <f>IF(ISNUMBER(((NºAsuntos!G10/NºAsuntos!E10)-Datos!BD10)/Datos!BD10),((NºAsuntos!G10/NºAsuntos!E10)-Datos!BD10)/Datos!BD10," - ")</f>
        <v>-0.17179487179487185</v>
      </c>
      <c r="I10" s="515">
        <f>IF(ISNUMBER(((NºAsuntos!I10/NºAsuntos!G10)-Datos!BE10)/Datos!BE10),((NºAsuntos!I10/NºAsuntos!G10)-Datos!BE10)/Datos!BE10," - ")</f>
        <v>-0.34453781512605036</v>
      </c>
      <c r="J10" s="521">
        <f>IF(ISNUMBER((('Resol  Asuntos'!D10/NºAsuntos!G10)-Datos!BF10)/Datos!BF10),(('Resol  Asuntos'!D10/NºAsuntos!G10)-Datos!BF10)/Datos!BF10," - ")</f>
        <v>-0.44941176470588234</v>
      </c>
      <c r="K10" s="522">
        <f>IF(ISNUMBER((((NºAsuntos!C10+NºAsuntos!E10)/NºAsuntos!G10)-Datos!BG10)/Datos!BG10),(((NºAsuntos!C10+NºAsuntos!E10)/NºAsuntos!G10)-Datos!BG10)/Datos!BG10," - ")</f>
        <v>-0.38398692810457519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-4.0666340029397355E-2</v>
      </c>
      <c r="C12" s="515">
        <f>IF(ISNUMBER(
   IF(J_V="SI",(Datos!J12-Datos!T12)/Datos!T12,(Datos!J12+Datos!Z12-(Datos!T12+Datos!AH12))/(Datos!T12+Datos!AH12))
     ),IF(J_V="SI",(Datos!J12-Datos!T12)/Datos!T12,(Datos!J12+Datos!Z12-(Datos!T12+Datos!AH12))/(Datos!T12+Datos!AH12))," - ")</f>
        <v>4.9353912419239053E-2</v>
      </c>
      <c r="D12" s="515">
        <f>IF(ISNUMBER(
   IF(J_V="SI",(Datos!K12-Datos!U12)/Datos!U12,(Datos!K12+Datos!AA12-(Datos!U12+Datos!AI12))/(Datos!U12+Datos!AI12))
     ),IF(J_V="SI",(Datos!K12-Datos!U12)/Datos!U12,(Datos!K12+Datos!AA12-(Datos!U12+Datos!AI12))/(Datos!U12+Datos!AI12))," - ")</f>
        <v>-3.1582392407134674E-2</v>
      </c>
      <c r="E12" s="515">
        <f>IF(ISNUMBER(
   IF(J_V="SI",(Datos!L12-Datos!V12)/Datos!V12,(Datos!L12+Datos!AB12-(Datos!V12+Datos!AJ12))/(Datos!V12+Datos!AJ12))
     ),IF(J_V="SI",(Datos!L12-Datos!V12)/Datos!V12,(Datos!L12+Datos!AB12-(Datos!V12+Datos!AJ12))/(Datos!V12+Datos!AJ12))," - ")</f>
        <v>1.9407558733401432E-2</v>
      </c>
      <c r="F12" s="515">
        <f>IF(ISNUMBER((Datos!M12-Datos!W12)/Datos!W12),(Datos!M12-Datos!W12)/Datos!W12," - ")</f>
        <v>3.7622272385252069E-3</v>
      </c>
      <c r="G12" s="516">
        <f>IF(ISNUMBER((Datos!N12-Datos!X12)/Datos!X12),(Datos!N12-Datos!X12)/Datos!X12," - ")</f>
        <v>0.11062906724511931</v>
      </c>
      <c r="H12" s="514">
        <f>IF(ISNUMBER(((NºAsuntos!G12/NºAsuntos!E12)-Datos!BD12)/Datos!BD12),((NºAsuntos!G12/NºAsuntos!E12)-Datos!BD12)/Datos!BD12," - ")</f>
        <v>-7.7129654607927867E-2</v>
      </c>
      <c r="I12" s="515">
        <f>IF(ISNUMBER(((NºAsuntos!I12/NºAsuntos!G12)-Datos!BE12)/Datos!BE12),((NºAsuntos!I12/NºAsuntos!G12)-Datos!BE12)/Datos!BE12," - ")</f>
        <v>5.2652854244646129E-2</v>
      </c>
      <c r="J12" s="521">
        <f>IF(ISNUMBER((('Resol  Asuntos'!D12/NºAsuntos!G12)-Datos!BF12)/Datos!BF12),(('Resol  Asuntos'!D12/NºAsuntos!G12)-Datos!BF12)/Datos!BF12," - ")</f>
        <v>-0.25297998898906898</v>
      </c>
      <c r="K12" s="522">
        <f>IF(ISNUMBER((((NºAsuntos!C12+NºAsuntos!E12)/NºAsuntos!G12)-Datos!BG12)/Datos!BG12),(((NºAsuntos!C12+NºAsuntos!E12)/NºAsuntos!G12)-Datos!BG12)/Datos!BG12," - ")</f>
        <v>4.4271240829979901E-2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-4.619105199516324E-2</v>
      </c>
      <c r="C14" s="1152">
        <f>IF(ISNUMBER(
   IF(J_V="SI",(Datos!J14-Datos!T14)/Datos!T14,(Datos!J14+Datos!Z14-(Datos!T14+Datos!AH14))/(Datos!T14+Datos!AH14))
     ),IF(J_V="SI",(Datos!J14-Datos!T14)/Datos!T14,(Datos!J14+Datos!Z14-(Datos!T14+Datos!AH14))/(Datos!T14+Datos!AH14))," - ")</f>
        <v>5.1153639778214986E-2</v>
      </c>
      <c r="D14" s="1152">
        <f>IF(ISNUMBER(
   IF(J_V="SI",(Datos!K14-Datos!U14)/Datos!U14,(Datos!K14+Datos!AA14-(Datos!U14+Datos!AI14))/(Datos!U14+Datos!AI14))
     ),IF(J_V="SI",(Datos!K14-Datos!U14)/Datos!U14,(Datos!K14+Datos!AA14-(Datos!U14+Datos!AI14))/(Datos!U14+Datos!AI14))," - ")</f>
        <v>-3.0145021997718756E-2</v>
      </c>
      <c r="E14" s="1152">
        <f>IF(ISNUMBER(
   IF(J_V="SI",(Datos!L14-Datos!V14)/Datos!V14,(Datos!L14+Datos!AB14-(Datos!V14+Datos!AJ14))/(Datos!V14+Datos!AJ14))
     ),IF(J_V="SI",(Datos!L14-Datos!V14)/Datos!V14,(Datos!L14+Datos!AB14-(Datos!V14+Datos!AJ14))/(Datos!V14+Datos!AJ14))," - ")</f>
        <v>1.8255578093306288E-2</v>
      </c>
      <c r="F14" s="1153">
        <f>IF(ISNUMBER((Datos!M14-Datos!W14)/Datos!W14),(Datos!M14-Datos!W14)/Datos!W14," - ")</f>
        <v>-1.4771048744460858E-3</v>
      </c>
      <c r="G14" s="1154">
        <f>IF(ISNUMBER((Datos!N14-Datos!X14)/Datos!X14),(Datos!N14-Datos!X14)/Datos!X14," - ")</f>
        <v>0.11713665943600868</v>
      </c>
      <c r="H14" s="1154">
        <f>IF(ISNUMBER(((NºAsuntos!G14/NºAsuntos!E14)-Datos!BD14)/Datos!BD14),((NºAsuntos!G14/NºAsuntos!E14)-Datos!BD14)/Datos!BD14," - ")</f>
        <v>-7.7342320569890377E-2</v>
      </c>
      <c r="I14" s="1154">
        <f>IF(ISNUMBER(((NºAsuntos!I14/NºAsuntos!G14)-Datos!BE14)/Datos!BE14),((NºAsuntos!I14/NºAsuntos!G14)-Datos!BE14)/Datos!BE14," - ")</f>
        <v>4.9904987022617704E-2</v>
      </c>
      <c r="J14" s="1154">
        <f>IF(ISNUMBER((('Resol  Asuntos'!D14/NºAsuntos!G14)-Datos!BF14)/Datos!BF14),(('Resol  Asuntos'!D14/NºAsuntos!G14)-Datos!BF14)/Datos!BF14," - ")</f>
        <v>-0.254134376959676</v>
      </c>
      <c r="K14" s="1154">
        <f>IF(ISNUMBER((((NºAsuntos!C14+NºAsuntos!E14)/NºAsuntos!G14)-Datos!BG14)/Datos!BG14),(((NºAsuntos!C14+NºAsuntos!E14)/NºAsuntos!G14)-Datos!BG14)/Datos!BG14," - ")</f>
        <v>4.1153219864060238E-2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-9.6230598669623066E-2</v>
      </c>
      <c r="C17" s="515">
        <f>IF(ISNUMBER(
   IF(D_I="SI",(Datos!J17-Datos!T17)/Datos!T17,(Datos!J17+Datos!AD17-(Datos!T17+Datos!AL17))/(Datos!T17+Datos!AL17))
     ),IF(D_I="SI",(Datos!J17-Datos!T17)/Datos!T17,(Datos!J17+Datos!AD17-(Datos!T17+Datos!AL17))/(Datos!T17+Datos!AL17))," - ")</f>
        <v>9.6234309623430964E-2</v>
      </c>
      <c r="D17" s="515">
        <f>IF(ISNUMBER(
   IF(D_I="SI",(Datos!K17-Datos!U17)/Datos!U17,(Datos!K17+Datos!AE17-(Datos!U17+Datos!AM17))/(Datos!U17+Datos!AM17))
     ),IF(D_I="SI",(Datos!K17-Datos!U17)/Datos!U17,(Datos!K17+Datos!AE17-(Datos!U17+Datos!AM17))/(Datos!U17+Datos!AM17))," - ")</f>
        <v>3.99632521819017E-2</v>
      </c>
      <c r="E17" s="515">
        <f>IF(ISNUMBER(
   IF(D_I="SI",(Datos!L17-Datos!V17)/Datos!V17,(Datos!L17+Datos!AF17-(Datos!V17+Datos!AN17))/(Datos!V17+Datos!AN17))
     ),IF(D_I="SI",(Datos!L17-Datos!V17)/Datos!V17,(Datos!L17+Datos!AF17-(Datos!V17+Datos!AN17))/(Datos!V17+Datos!AN17))," - ")</f>
        <v>-2.1099116781157997E-2</v>
      </c>
      <c r="F17" s="515">
        <f>IF(ISNUMBER((Datos!M17-Datos!W17)/Datos!W17),(Datos!M17-Datos!W17)/Datos!W17," - ")</f>
        <v>0.19358288770053475</v>
      </c>
      <c r="G17" s="516">
        <f>IF(ISNUMBER((Datos!N17-Datos!X17)/Datos!X17),(Datos!N17-Datos!X17)/Datos!X17," - ")</f>
        <v>-6.9942452412571937E-2</v>
      </c>
      <c r="H17" s="514">
        <f>IF(ISNUMBER(((NºAsuntos!G17/NºAsuntos!E17)-Datos!BD17)/Datos!BD17),((NºAsuntos!G17/NºAsuntos!E17)-Datos!BD17)/Datos!BD17," - ")</f>
        <v>-5.1331231788265277E-2</v>
      </c>
      <c r="I17" s="515">
        <f>IF(ISNUMBER(((NºAsuntos!I17/NºAsuntos!G17)-Datos!BE17)/Datos!BE17),((NºAsuntos!I17/NºAsuntos!G17)-Datos!BE17)/Datos!BE17," - ")</f>
        <v>-5.8715891003790148E-2</v>
      </c>
      <c r="J17" s="521">
        <f>IF(ISNUMBER((('Resol  Asuntos'!D17/NºAsuntos!G17)-Datos!BF17)/Datos!BF17),(('Resol  Asuntos'!D17/NºAsuntos!G17)-Datos!BF17)/Datos!BF17," - ")</f>
        <v>0.14771640747529335</v>
      </c>
      <c r="K17" s="522">
        <f>IF(ISNUMBER((((NºAsuntos!C17+NºAsuntos!E17)/NºAsuntos!G17)-Datos!BG17)/Datos!BG17),(((NºAsuntos!C17+NºAsuntos!E17)/NºAsuntos!G17)-Datos!BG17)/Datos!BG17," - ")</f>
        <v>-1.1945509884261395E-2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-0.42578125</v>
      </c>
      <c r="C18" s="515">
        <f>IF(ISNUMBER(
   IF(D_I="SI",(Datos!J18-Datos!T18)/Datos!T18,(Datos!J18+Datos!AD18-(Datos!T18+Datos!AL18))/(Datos!T18+Datos!AL18))
     ),IF(D_I="SI",(Datos!J18-Datos!T18)/Datos!T18,(Datos!J18+Datos!AD18-(Datos!T18+Datos!AL18))/(Datos!T18+Datos!AL18))," - ")</f>
        <v>0.11616161616161616</v>
      </c>
      <c r="D18" s="515">
        <f>IF(ISNUMBER(
   IF(D_I="SI",(Datos!K18-Datos!U18)/Datos!U18,(Datos!K18+Datos!AE18-(Datos!U18+Datos!AM18))/(Datos!U18+Datos!AM18))
     ),IF(D_I="SI",(Datos!K18-Datos!U18)/Datos!U18,(Datos!K18+Datos!AE18-(Datos!U18+Datos!AM18))/(Datos!U18+Datos!AM18))," - ")</f>
        <v>0.45833333333333331</v>
      </c>
      <c r="E18" s="515">
        <f>IF(ISNUMBER(
   IF(D_I="SI",(Datos!L18-Datos!V18)/Datos!V18,(Datos!L18+Datos!AF18-(Datos!V18+Datos!AN18))/(Datos!V18+Datos!AN18))
     ),IF(D_I="SI",(Datos!L18-Datos!V18)/Datos!V18,(Datos!L18+Datos!AF18-(Datos!V18+Datos!AN18))/(Datos!V18+Datos!AN18))," - ")</f>
        <v>-0.56462585034013602</v>
      </c>
      <c r="F18" s="515">
        <f>IF(ISNUMBER((Datos!M18-Datos!W18)/Datos!W18),(Datos!M18-Datos!W18)/Datos!W18," - ")</f>
        <v>0.55000000000000004</v>
      </c>
      <c r="G18" s="516">
        <f>IF(ISNUMBER((Datos!N18-Datos!X18)/Datos!X18),(Datos!N18-Datos!X18)/Datos!X18," - ")</f>
        <v>0.69047619047619047</v>
      </c>
      <c r="H18" s="514">
        <f>IF(ISNUMBER(((NºAsuntos!G18/NºAsuntos!E18)-Datos!BD18)/Datos!BD18),((NºAsuntos!G18/NºAsuntos!E18)-Datos!BD18)/Datos!BD18," - ")</f>
        <v>0.3065610859728507</v>
      </c>
      <c r="I18" s="515">
        <f>IF(ISNUMBER(((NºAsuntos!I18/NºAsuntos!G18)-Datos!BE18)/Datos!BE18),((NºAsuntos!I18/NºAsuntos!G18)-Datos!BE18)/Datos!BE18," - ")</f>
        <v>-0.70145772594752187</v>
      </c>
      <c r="J18" s="521">
        <f>IF(ISNUMBER((('Resol  Asuntos'!D18/NºAsuntos!G18)-Datos!BF18)/Datos!BF18),(('Resol  Asuntos'!D18/NºAsuntos!G18)-Datos!BF18)/Datos!BF18," - ")</f>
        <v>6.2857142857142834E-2</v>
      </c>
      <c r="K18" s="522">
        <f>IF(ISNUMBER((((NºAsuntos!C18+NºAsuntos!E18)/NºAsuntos!G18)-Datos!BG18)/Datos!BG18),(((NºAsuntos!C18+NºAsuntos!E18)/NºAsuntos!G18)-Datos!BG18)/Datos!BG18," - ")</f>
        <v>-0.38054338299737067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-0.12982875348466746</v>
      </c>
      <c r="C23" s="1152">
        <f>IF(ISNUMBER(
   IF(Criterios!B14="SI",(Datos!J23-Datos!T23)/Datos!T23,(Datos!J23+Datos!AD23-(Datos!T23+Datos!AL23))/(Datos!T23+Datos!AL23))
     ),IF(Criterios!B14="SI",(Datos!J23-Datos!T23)/Datos!T23,(Datos!J23+Datos!AD23-(Datos!T23+Datos!AL23))/(Datos!T23+Datos!AL23))," - ")</f>
        <v>9.8004036779546985E-2</v>
      </c>
      <c r="D23" s="1152">
        <f>IF(ISNUMBER(
   IF(Criterios!B14="SI",(Datos!K23-Datos!U23)/Datos!U23,(Datos!K23+Datos!AE23-(Datos!U23+Datos!AM23))/(Datos!U23+Datos!AM23))
     ),IF(Criterios!B14="SI",(Datos!K23-Datos!U23)/Datos!U23,(Datos!K23+Datos!AE23-(Datos!U23+Datos!AM23))/(Datos!U23+Datos!AM23))," - ")</f>
        <v>7.1913449299957577E-2</v>
      </c>
      <c r="E23" s="1152">
        <f>IF(ISNUMBER(
   IF(Criterios!B14="SI",(Datos!L23-Datos!V23)/Datos!V23,(Datos!L23+Datos!AF23-(Datos!V23+Datos!AN23))/(Datos!V23+Datos!AN23))
     ),IF(Criterios!B14="SI",(Datos!L23-Datos!V23)/Datos!V23,(Datos!L23+Datos!AF23-(Datos!V23+Datos!AN23))/(Datos!V23+Datos!AN23))," - ")</f>
        <v>-5.7665903890160186E-2</v>
      </c>
      <c r="F23" s="1153">
        <f>IF(ISNUMBER((Datos!M23-Datos!W23)/Datos!W23),(Datos!M23-Datos!W23)/Datos!W23," - ")</f>
        <v>0.2150753768844221</v>
      </c>
      <c r="G23" s="1154">
        <f>IF(ISNUMBER((Datos!N23-Datos!X23)/Datos!X23),(Datos!N23-Datos!X23)/Datos!X23," - ")</f>
        <v>-1.73053152039555E-2</v>
      </c>
      <c r="H23" s="1154">
        <f>IF(ISNUMBER(((NºAsuntos!G23/NºAsuntos!E23)-Datos!BD23)/Datos!BD23),((NºAsuntos!G23/NºAsuntos!E23)-Datos!BD23)/Datos!BD23," - ")</f>
        <v>-2.3761832020320426E-2</v>
      </c>
      <c r="I23" s="1154">
        <f>IF(ISNUMBER(((NºAsuntos!I23/NºAsuntos!G23)-Datos!BE23)/Datos!BE23),((NºAsuntos!I23/NºAsuntos!G23)-Datos!BE23)/Datos!BE23," - ")</f>
        <v>-0.12088602235072529</v>
      </c>
      <c r="J23" s="1154">
        <f>IF(ISNUMBER((('Resol  Asuntos'!D23/NºAsuntos!G23)-Datos!BF23)/Datos!BF23),(('Resol  Asuntos'!D23/NºAsuntos!G23)-Datos!BF23)/Datos!BF23," - ")</f>
        <v>0.13355735733884147</v>
      </c>
      <c r="K23" s="1154">
        <f>IF(ISNUMBER((((NºAsuntos!C23+NºAsuntos!E23)/NºAsuntos!G23)-Datos!BG23)/Datos!BG23),(((NºAsuntos!C23+NºAsuntos!E23)/NºAsuntos!G23)-Datos!BG23)/Datos!BG23," - ")</f>
        <v>-5.2231880091120106E-2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-7.7791152572976224E-2</v>
      </c>
      <c r="C31" s="1092">
        <f>IF(ISNUMBER(
   IF(J_V="SI",(Datos!J31-Datos!T31)/Datos!T31,(Datos!J31+Datos!Z31-(Datos!T31+Datos!AH31))/(Datos!T31+Datos!AH31))
     ),IF(J_V="SI",(Datos!J31-Datos!T31)/Datos!T31,(Datos!J31+Datos!Z31-(Datos!T31+Datos!AH31))/(Datos!T31+Datos!AH31))," - ")</f>
        <v>7.1940298507462683E-2</v>
      </c>
      <c r="D31" s="1092">
        <f>IF(ISNUMBER(
   IF(J_V="SI",(Datos!K31-Datos!U31)/Datos!U31,(Datos!K31+Datos!AA31-(Datos!U31+Datos!AI31))/(Datos!U31+Datos!AI31))
     ),IF(J_V="SI",(Datos!K31-Datos!U31)/Datos!U31,(Datos!K31+Datos!AA31-(Datos!U31+Datos!AI31))/(Datos!U31+Datos!AI31))," - ")</f>
        <v>1.4192240346511842E-2</v>
      </c>
      <c r="E31" s="1092">
        <f>IF(ISNUMBER(
   IF(J_V="SI",(Datos!L31-Datos!V31)/Datos!V31,(Datos!L31+Datos!AB31-(Datos!V31+Datos!AJ31))/(Datos!V31+Datos!AJ31))
     ),IF(J_V="SI",(Datos!L31-Datos!V31)/Datos!V31,(Datos!L31+Datos!AB31-(Datos!V31+Datos!AJ31))/(Datos!V31+Datos!AJ31))," - ")</f>
        <v>-8.8105726872246704E-3</v>
      </c>
      <c r="F31" s="1093">
        <f>IF(ISNUMBER((Datos!M31-Datos!W31)/Datos!W31),(Datos!M31-Datos!W31)/Datos!W31," - ")</f>
        <v>9.0251170710940826E-2</v>
      </c>
      <c r="G31" s="1094">
        <f>IF(ISNUMBER((Datos!N31-Datos!X31)/Datos!X31),(Datos!N31-Datos!X31)/Datos!X31," - ")</f>
        <v>4.0739873565909621E-2</v>
      </c>
      <c r="H31" s="1095">
        <f>IF(ISNUMBER((Tasas!B31-Datos!BD31)/Datos!BD31),(Tasas!B31-Datos!BD31)/Datos!BD31," - ")</f>
        <v>-5.3872457487937966E-2</v>
      </c>
      <c r="I31" s="1096">
        <f>IF(ISNUMBER((Tasas!C31-Datos!BE31)/Datos!BE31),(Tasas!C31-Datos!BE31)/Datos!BE31," - ")</f>
        <v>-2.2680919966294968E-2</v>
      </c>
      <c r="J31" s="1097">
        <f>IF(ISNUMBER((Tasas!D31-Datos!BF31)/Datos!BF31),(Tasas!D31-Datos!BF31)/Datos!BF31," - ")</f>
        <v>-0.11830925633092118</v>
      </c>
      <c r="K31" s="1097">
        <f>IF(ISNUMBER((Tasas!E31-Datos!BG31)/Datos!BG31),(Tasas!E31-Datos!BG31)/Datos!BG31," - ")</f>
        <v>-1.828012139797123E-3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tWLX5Zvs1Gq1V0hcoGpLMaaILz406CZHuSBsdWnRoDq22NnIk6msCpxYb/C9j/PE8qr6WZs8/jJgET5H2K9lw==" saltValue="xG3UDaW1Xv9NqELtEI5Iw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CHICLANA DE LA FRONTERA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1.1333333333333333</v>
      </c>
      <c r="C10" s="498">
        <f>IF(ISNUMBER(NºAsuntos!I10/NºAsuntos!G10),NºAsuntos!I10/NºAsuntos!G10," - ")</f>
        <v>0.70588235294117652</v>
      </c>
      <c r="D10" s="499">
        <f>IF(ISNUMBER('Resol  Asuntos'!D10/NºAsuntos!G10),'Resol  Asuntos'!D10/NºAsuntos!G10," - ")</f>
        <v>0.52941176470588236</v>
      </c>
      <c r="E10" s="500">
        <f>IF(ISNUMBER((NºAsuntos!C10+NºAsuntos!E10)/NºAsuntos!G10),(NºAsuntos!C10+NºAsuntos!E10)/NºAsuntos!G10," - ")</f>
        <v>1.7058823529411764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1.0121429793056269</v>
      </c>
      <c r="C12" s="498">
        <f>IF(ISNUMBER(NºAsuntos!I12/NºAsuntos!G12),NºAsuntos!I12/NºAsuntos!G12," - ")</f>
        <v>0.67455221358567086</v>
      </c>
      <c r="D12" s="499">
        <f>IF(ISNUMBER('Resol  Asuntos'!D12/NºAsuntos!G12),'Resol  Asuntos'!D12/NºAsuntos!G12," - ")</f>
        <v>0.22541399121324771</v>
      </c>
      <c r="E12" s="500">
        <f>IF(ISNUMBER((NºAsuntos!C12+NºAsuntos!E12)/NºAsuntos!G12),(NºAsuntos!C12+NºAsuntos!E12)/NºAsuntos!G12," - ")</f>
        <v>1.6497127407908077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1.0127616130678918</v>
      </c>
      <c r="C14" s="1156">
        <f>IF(ISNUMBER(NºAsuntos!I14/NºAsuntos!G14),NºAsuntos!I14/NºAsuntos!G14," - ")</f>
        <v>0.67473118279569888</v>
      </c>
      <c r="D14" s="1157">
        <f>IF(ISNUMBER('Resol  Asuntos'!D14/NºAsuntos!G14),'Resol  Asuntos'!D14/NºAsuntos!G14," - ")</f>
        <v>0.22715053763440859</v>
      </c>
      <c r="E14" s="1158">
        <f>IF(ISNUMBER((NºAsuntos!C14+NºAsuntos!E14)/NºAsuntos!G14),(NºAsuntos!C14+NºAsuntos!E14)/NºAsuntos!G14," - ")</f>
        <v>1.6500336021505377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1.0166142792995061</v>
      </c>
      <c r="C17" s="498">
        <f>IF(ISNUMBER(NºAsuntos!I17/NºAsuntos!G17),NºAsuntos!I17/NºAsuntos!G17," - ")</f>
        <v>0.44059187279151946</v>
      </c>
      <c r="D17" s="499">
        <f>IF(ISNUMBER('Resol  Asuntos'!D17/NºAsuntos!G17),'Resol  Asuntos'!D17/NºAsuntos!G17," - ")</f>
        <v>0.24646643109540636</v>
      </c>
      <c r="E17" s="500">
        <f>IF(ISNUMBER((NºAsuntos!C17+NºAsuntos!E17)/NºAsuntos!G17),(NºAsuntos!C17+NºAsuntos!E17)/NºAsuntos!G17," - ")</f>
        <v>1.4337455830388692</v>
      </c>
      <c r="G17" s="523"/>
    </row>
    <row r="18" spans="1:7">
      <c r="A18" s="450" t="str">
        <f>Datos!A18</f>
        <v>Jdos. Violencia contra la mujer</v>
      </c>
      <c r="B18" s="497">
        <f>IF(ISNUMBER(NºAsuntos!G18/NºAsuntos!E18),NºAsuntos!G18/NºAsuntos!E18," - ")</f>
        <v>1.1877828054298643</v>
      </c>
      <c r="C18" s="498">
        <f>IF(ISNUMBER(NºAsuntos!I18/NºAsuntos!G18),NºAsuntos!I18/NºAsuntos!G18," - ")</f>
        <v>0.1219047619047619</v>
      </c>
      <c r="D18" s="499">
        <f>IF(ISNUMBER('Resol  Asuntos'!D18/NºAsuntos!G18),'Resol  Asuntos'!D18/NºAsuntos!G18," - ")</f>
        <v>0.17714285714285713</v>
      </c>
      <c r="E18" s="500">
        <f>IF(ISNUMBER((NºAsuntos!C18+NºAsuntos!E18)/NºAsuntos!G18),(NºAsuntos!C18+NºAsuntos!E18)/NºAsuntos!G18," - ")</f>
        <v>1.121904761904762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1.0320669934640523</v>
      </c>
      <c r="C23" s="1156">
        <f>IF(ISNUMBER(NºAsuntos!I23/NºAsuntos!G23),NºAsuntos!I23/NºAsuntos!G23," - ")</f>
        <v>0.40748070453196122</v>
      </c>
      <c r="D23" s="1159">
        <f>IF(ISNUMBER('Resol  Asuntos'!D23/NºAsuntos!G23),'Resol  Asuntos'!D23/NºAsuntos!G23," - ")</f>
        <v>0.2392638036809816</v>
      </c>
      <c r="E23" s="1158">
        <f>IF(ISNUMBER((NºAsuntos!C23+NºAsuntos!E23)/NºAsuntos!G23),(NºAsuntos!C23+NºAsuntos!E23)/NºAsuntos!G23," - ")</f>
        <v>1.4013457352068079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1.0215353197809338</v>
      </c>
      <c r="C31" s="1099">
        <f>IF(ISNUMBER(NºAsuntos!I31/NºAsuntos!G31),NºAsuntos!I31/NºAsuntos!G31," - ")</f>
        <v>0.55202180826896863</v>
      </c>
      <c r="D31" s="1100">
        <f>IF(ISNUMBER('Resol  Asuntos'!D31/NºAsuntos!G31),'Resol  Asuntos'!D31/NºAsuntos!G31," - ")</f>
        <v>0.23271240345297592</v>
      </c>
      <c r="E31" s="1101">
        <f>IF(ISNUMBER((NºAsuntos!C31+NºAsuntos!E31)/NºAsuntos!G31),(NºAsuntos!C31+NºAsuntos!E31)/NºAsuntos!G31," - ")</f>
        <v>1.5358473421172194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6XyYbME7gEeioZClVqur+HGcirQi1xcELpIAJW3tVK8Cl96ud5beHuBnldcqv2m8V9qykRLqNOg9+UaErb0w==" saltValue="MmjhD1W48sKG/gOuL38UR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CHICLANA DE LA FRONTERA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28</v>
      </c>
      <c r="G10" s="373">
        <f>IF(ISNUMBER(Datos!I10),Datos!I10," - ")</f>
        <v>28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34</v>
      </c>
      <c r="X10" s="240">
        <f>IF(ISNUMBER(Datos!Q10),Datos!Q10," - ")</f>
        <v>2</v>
      </c>
      <c r="Y10" s="374">
        <f t="shared" ref="Y10:Y13" si="0">SUM(W10:X10)</f>
        <v>36</v>
      </c>
      <c r="Z10" s="375" t="str">
        <f>IF(ISNUMBER(Datos!CC10),Datos!CC10," - ")</f>
        <v xml:space="preserve"> - </v>
      </c>
      <c r="AA10" s="372">
        <f>IF(ISNUMBER(Datos!L10),Datos!L10,"-")</f>
        <v>24</v>
      </c>
      <c r="AB10" s="374">
        <f>IF(ISNUMBER(Datos!R10),Datos!R10," - ")</f>
        <v>41</v>
      </c>
      <c r="AC10" s="374">
        <f t="shared" ref="AC10:AC13" si="1">IF(ISNUMBER(AA10+AB10),AA10+AB10," - ")</f>
        <v>65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18</v>
      </c>
      <c r="AJ10" s="245" t="str">
        <f>IF(ISNUMBER(Datos!BW10),Datos!BW10," - ")</f>
        <v xml:space="preserve"> - </v>
      </c>
      <c r="AK10" s="246" t="str">
        <f>IF(ISNUMBER(Datos!BX10),Datos!BX10," - ")</f>
        <v xml:space="preserve"> - </v>
      </c>
      <c r="AL10" s="266">
        <f>IF(ISNUMBER(NºAsuntos!G10/NºAsuntos!E10),NºAsuntos!G10/NºAsuntos!E10," - ")</f>
        <v>1.1333333333333333</v>
      </c>
      <c r="AM10" s="284">
        <f>IF(ISNUMBER(((NºAsuntos!I10/NºAsuntos!G10)*11)/factor_trimestre),((NºAsuntos!I10/NºAsuntos!G10)*11)/factor_trimestre," - ")</f>
        <v>7.764705882352942</v>
      </c>
      <c r="AN10" s="267">
        <f>IF(ISNUMBER('Resol  Asuntos'!D10/NºAsuntos!G10),'Resol  Asuntos'!D10/NºAsuntos!G10," - ")</f>
        <v>0.52941176470588236</v>
      </c>
      <c r="AO10" s="268">
        <f>IF(ISNUMBER((NºAsuntos!C10+NºAsuntos!E10)/NºAsuntos!G10),(NºAsuntos!C10+NºAsuntos!E10)/NºAsuntos!G10," - ")</f>
        <v>1.7058823529411764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1377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970</v>
      </c>
      <c r="Y12" s="374">
        <f t="shared" si="0"/>
        <v>970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5904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1334</v>
      </c>
      <c r="AJ12" s="243" t="str">
        <f>IF(ISNUMBER(Datos!BW12),Datos!BW12," - ")</f>
        <v xml:space="preserve"> - </v>
      </c>
      <c r="AK12" s="242" t="str">
        <f>IF(ISNUMBER(Datos!BX12),Datos!BX12," - ")</f>
        <v xml:space="preserve"> - </v>
      </c>
      <c r="AL12" s="266">
        <f>IF(ISNUMBER(NºAsuntos!G12/NºAsuntos!E12),NºAsuntos!G12/NºAsuntos!E12," - ")</f>
        <v>1.0121429793056269</v>
      </c>
      <c r="AM12" s="284">
        <f>IF(ISNUMBER(((NºAsuntos!I12/NºAsuntos!G12)*11)/factor_trimestre),((NºAsuntos!I12/NºAsuntos!G12)*11)/factor_trimestre," - ")</f>
        <v>7.4200743494423795</v>
      </c>
      <c r="AN12" s="267">
        <f>IF(ISNUMBER('Resol  Asuntos'!D12/NºAsuntos!G12),'Resol  Asuntos'!D12/NºAsuntos!G12," - ")</f>
        <v>0.22541399121324771</v>
      </c>
      <c r="AO12" s="268">
        <f>IF(ISNUMBER((NºAsuntos!C12+NºAsuntos!E12)/NºAsuntos!G12),(NºAsuntos!C12+NºAsuntos!E12)/NºAsuntos!G12," - ")</f>
        <v>1.6497127407908077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28</v>
      </c>
      <c r="G14" s="1163">
        <f t="shared" si="5"/>
        <v>28</v>
      </c>
      <c r="H14" s="1162">
        <f t="shared" si="5"/>
        <v>0</v>
      </c>
      <c r="I14" s="1164">
        <f t="shared" si="5"/>
        <v>0</v>
      </c>
      <c r="J14" s="1164">
        <f t="shared" si="5"/>
        <v>0</v>
      </c>
      <c r="K14" s="1164">
        <f t="shared" si="5"/>
        <v>0</v>
      </c>
      <c r="L14" s="1164">
        <f t="shared" si="5"/>
        <v>1379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34</v>
      </c>
      <c r="X14" s="1164">
        <f t="shared" si="6"/>
        <v>972</v>
      </c>
      <c r="Y14" s="1165">
        <f t="shared" si="6"/>
        <v>1006</v>
      </c>
      <c r="Z14" s="1165">
        <f t="shared" si="6"/>
        <v>0</v>
      </c>
      <c r="AA14" s="1165">
        <f t="shared" si="6"/>
        <v>24</v>
      </c>
      <c r="AB14" s="1165">
        <f t="shared" si="6"/>
        <v>5945</v>
      </c>
      <c r="AC14" s="1165">
        <f t="shared" si="6"/>
        <v>65</v>
      </c>
      <c r="AD14" s="1165">
        <f t="shared" si="6"/>
        <v>0</v>
      </c>
      <c r="AE14" s="1169">
        <f t="shared" si="6"/>
        <v>0</v>
      </c>
      <c r="AF14" s="1162">
        <f t="shared" si="6"/>
        <v>0</v>
      </c>
      <c r="AG14" s="1170">
        <f t="shared" si="6"/>
        <v>0</v>
      </c>
      <c r="AH14" s="1167">
        <f t="shared" si="6"/>
        <v>0</v>
      </c>
      <c r="AI14" s="1162">
        <f t="shared" si="6"/>
        <v>1352</v>
      </c>
      <c r="AJ14" s="1164">
        <f t="shared" si="6"/>
        <v>0</v>
      </c>
      <c r="AK14" s="1167">
        <f>SUBTOTAL(9,AK9:AK13)</f>
        <v>0</v>
      </c>
      <c r="AL14" s="1171">
        <f>IF(ISNUMBER(NºAsuntos!G14/NºAsuntos!E14),NºAsuntos!G14/NºAsuntos!E14," - ")</f>
        <v>1.0127616130678918</v>
      </c>
      <c r="AM14" s="1171">
        <f>IF(ISNUMBER(((NºAsuntos!I14/NºAsuntos!G14)*11)/factor_trimestre),((NºAsuntos!I14/NºAsuntos!G14)*11)/factor_trimestre," - ")</f>
        <v>7.422043010752688</v>
      </c>
      <c r="AN14" s="1172">
        <f>IF(ISNUMBER('Resol  Asuntos'!D14/NºAsuntos!G14),'Resol  Asuntos'!D14/NºAsuntos!G14," - ")</f>
        <v>0.22715053763440859</v>
      </c>
      <c r="AO14" s="1173">
        <f>IF(ISNUMBER((NºAsuntos!C14+NºAsuntos!E14)/NºAsuntos!G14),(NºAsuntos!C14+NºAsuntos!E14)/NºAsuntos!G14," - ")</f>
        <v>1.6500336021505377</v>
      </c>
      <c r="AP14" s="1174" t="str">
        <f t="shared" si="2"/>
        <v xml:space="preserve"> - </v>
      </c>
      <c r="AQ14" s="1174">
        <f>IF(ISNUMBER((H14-W14+K14)/(F14)),(H14-W14+K14)/(F14)," - ")</f>
        <v>-1.2142857142857142</v>
      </c>
      <c r="AR14" s="1175">
        <f>IF(ISNUMBER((Datos!P14-Datos!Q14)/(Datos!R14-Datos!P14+Datos!Q14)),(Datos!P14-Datos!Q14)/(Datos!R14-Datos!P14+Datos!Q14)," - ")</f>
        <v>7.3492235464066455E-2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2069</v>
      </c>
      <c r="G17" s="373">
        <f>IF(ISNUMBER(IF(D_I="SI",Datos!I17,Datos!I17+Datos!AC17)),IF(D_I="SI",Datos!I17,Datos!I17+Datos!AC17)," - ")</f>
        <v>2038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4528</v>
      </c>
      <c r="X17" s="240">
        <f>IF(ISNUMBER(Datos!Q17),Datos!Q17," - ")</f>
        <v>140</v>
      </c>
      <c r="Y17" s="374">
        <f t="shared" ref="Y17:Y22" si="9">SUM(W17:X17)</f>
        <v>4668</v>
      </c>
      <c r="Z17" s="375" t="str">
        <f>IF(ISNUMBER(Datos!CC17),Datos!CC17," - ")</f>
        <v xml:space="preserve"> - </v>
      </c>
      <c r="AA17" s="372">
        <f>IF(ISNUMBER(IF(D_I="SI",Datos!L17,Datos!L17+Datos!AF17)),IF(D_I="SI",Datos!L17,Datos!L17+Datos!AF17)," - ")</f>
        <v>1995</v>
      </c>
      <c r="AB17" s="374">
        <f>IF(ISNUMBER(Datos!R17),Datos!R17," - ")</f>
        <v>334</v>
      </c>
      <c r="AC17" s="374">
        <f t="shared" si="8"/>
        <v>2329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1116</v>
      </c>
      <c r="AJ17" s="245" t="str">
        <f>IF(ISNUMBER(Datos!BW17),Datos!BW17," - ")</f>
        <v xml:space="preserve"> - </v>
      </c>
      <c r="AK17" s="246" t="str">
        <f>IF(ISNUMBER(Datos!BX17),Datos!BX17," - ")</f>
        <v xml:space="preserve"> - </v>
      </c>
      <c r="AL17" s="266">
        <f>IF(ISNUMBER(NºAsuntos!G17/NºAsuntos!E17),NºAsuntos!G17/NºAsuntos!E17," - ")</f>
        <v>1.0166142792995061</v>
      </c>
      <c r="AM17" s="284">
        <f>IF(ISNUMBER(((NºAsuntos!I17/NºAsuntos!G17)*11)/factor_trimestre),((NºAsuntos!I17/NºAsuntos!G17)*11)/factor_trimestre," - ")</f>
        <v>4.846510600706714</v>
      </c>
      <c r="AN17" s="267">
        <f>IF(ISNUMBER('Resol  Asuntos'!D17/NºAsuntos!G17),'Resol  Asuntos'!D17/NºAsuntos!G17," - ")</f>
        <v>0.24646643109540636</v>
      </c>
      <c r="AO17" s="268">
        <f>IF(ISNUMBER((NºAsuntos!C17+NºAsuntos!E17)/NºAsuntos!G17),(NºAsuntos!C17+NºAsuntos!E17)/NºAsuntos!G17," - ")</f>
        <v>1.4337455830388692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525</v>
      </c>
      <c r="X18" s="240">
        <f>IF(ISNUMBER(Datos!Q18),Datos!Q18," - ")</f>
        <v>1</v>
      </c>
      <c r="Y18" s="374">
        <f t="shared" si="9"/>
        <v>526</v>
      </c>
      <c r="Z18" s="375" t="str">
        <f>IF(ISNUMBER(Datos!CC18),Datos!CC18," - ")</f>
        <v xml:space="preserve"> - </v>
      </c>
      <c r="AA18" s="372">
        <f>IF(ISNUMBER(Datos!L18),Datos!L18,"-")</f>
        <v>64</v>
      </c>
      <c r="AB18" s="374">
        <f>IF(ISNUMBER(Datos!R18),Datos!R18," - ")</f>
        <v>2</v>
      </c>
      <c r="AC18" s="374">
        <f t="shared" si="8"/>
        <v>66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93</v>
      </c>
      <c r="AJ18" s="245" t="str">
        <f>IF(ISNUMBER(Datos!BW18),Datos!BW18," - ")</f>
        <v xml:space="preserve"> - </v>
      </c>
      <c r="AK18" s="246" t="str">
        <f>IF(ISNUMBER(Datos!BX18),Datos!BX18," - ")</f>
        <v xml:space="preserve"> - </v>
      </c>
      <c r="AL18" s="266">
        <f>IF(ISNUMBER(NºAsuntos!G18/NºAsuntos!E18),NºAsuntos!G18/NºAsuntos!E18," - ")</f>
        <v>1.1877828054298643</v>
      </c>
      <c r="AM18" s="284">
        <f>IF(ISNUMBER(((NºAsuntos!I18/NºAsuntos!G18)*11)/factor_trimestre),((NºAsuntos!I18/NºAsuntos!G18)*11)/factor_trimestre," - ")</f>
        <v>1.3409523809523809</v>
      </c>
      <c r="AN18" s="267">
        <f>IF(ISNUMBER('Resol  Asuntos'!D18/NºAsuntos!G18),'Resol  Asuntos'!D18/NºAsuntos!G18," - ")</f>
        <v>0.17714285714285713</v>
      </c>
      <c r="AO18" s="268">
        <f>IF(ISNUMBER((NºAsuntos!C18+NºAsuntos!E18)/NºAsuntos!G18),(NºAsuntos!C18+NºAsuntos!E18)/NºAsuntos!G18," - ")</f>
        <v>1.121904761904762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2069</v>
      </c>
      <c r="G23" s="1163">
        <f>SUBTOTAL(9,G16:G22)</f>
        <v>2185</v>
      </c>
      <c r="H23" s="1162">
        <f t="shared" ref="H23:O23" si="13">SUBTOTAL(9,H15:H22)</f>
        <v>0</v>
      </c>
      <c r="I23" s="1164">
        <f t="shared" si="13"/>
        <v>0</v>
      </c>
      <c r="J23" s="1164">
        <f t="shared" si="13"/>
        <v>0</v>
      </c>
      <c r="K23" s="1164">
        <f t="shared" si="13"/>
        <v>0</v>
      </c>
      <c r="L23" s="1164">
        <f t="shared" si="13"/>
        <v>179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5053</v>
      </c>
      <c r="X23" s="1164">
        <f t="shared" si="14"/>
        <v>141</v>
      </c>
      <c r="Y23" s="1165">
        <f t="shared" si="14"/>
        <v>5194</v>
      </c>
      <c r="Z23" s="1165">
        <f t="shared" si="14"/>
        <v>0</v>
      </c>
      <c r="AA23" s="1165">
        <f t="shared" si="14"/>
        <v>2059</v>
      </c>
      <c r="AB23" s="1165">
        <f t="shared" si="14"/>
        <v>336</v>
      </c>
      <c r="AC23" s="1165">
        <f t="shared" si="14"/>
        <v>2395</v>
      </c>
      <c r="AD23" s="1165">
        <f t="shared" si="14"/>
        <v>0</v>
      </c>
      <c r="AE23" s="1169">
        <f t="shared" si="14"/>
        <v>0</v>
      </c>
      <c r="AF23" s="1162">
        <f t="shared" si="14"/>
        <v>0</v>
      </c>
      <c r="AG23" s="1170">
        <f t="shared" si="14"/>
        <v>0</v>
      </c>
      <c r="AH23" s="1167">
        <f t="shared" si="14"/>
        <v>0</v>
      </c>
      <c r="AI23" s="1162">
        <f t="shared" si="14"/>
        <v>1209</v>
      </c>
      <c r="AJ23" s="1164">
        <f t="shared" si="14"/>
        <v>0</v>
      </c>
      <c r="AK23" s="1167">
        <f t="shared" si="14"/>
        <v>0</v>
      </c>
      <c r="AL23" s="1171">
        <f>IF(ISNUMBER(NºAsuntos!G23/NºAsuntos!E23),NºAsuntos!G23/NºAsuntos!E23," - ")</f>
        <v>1.0320669934640523</v>
      </c>
      <c r="AM23" s="1171">
        <f>IF(ISNUMBER(((NºAsuntos!I23/NºAsuntos!G23)*11)/factor_trimestre),((NºAsuntos!I23/NºAsuntos!G23)*11)/factor_trimestre," - ")</f>
        <v>4.4822877498515732</v>
      </c>
      <c r="AN23" s="1172">
        <f>IF(ISNUMBER('Resol  Asuntos'!D23/NºAsuntos!G23),'Resol  Asuntos'!D23/NºAsuntos!G23," - ")</f>
        <v>0.2392638036809816</v>
      </c>
      <c r="AO23" s="1173">
        <f>IF(ISNUMBER((NºAsuntos!C23+NºAsuntos!E23)/NºAsuntos!G23),(NºAsuntos!C23+NºAsuntos!E23)/NºAsuntos!G23," - ")</f>
        <v>1.4013457352068079</v>
      </c>
      <c r="AP23" s="1174" t="str">
        <f t="shared" si="2"/>
        <v xml:space="preserve"> - </v>
      </c>
      <c r="AQ23" s="1174">
        <f>IF(ISNUMBER((H23-W23+K23)/(F23)),(H23-W23+K23)/(F23)," - ")</f>
        <v>-2.4422426292895119</v>
      </c>
      <c r="AR23" s="1175">
        <f>IF(ISNUMBER((Datos!P23-Datos!Q23)/(Datos!R23-Datos!P23+Datos!Q23)),(Datos!P23-Datos!Q23)/(Datos!R23-Datos!P23+Datos!Q23)," - ")</f>
        <v>0.12751677852348994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2097</v>
      </c>
      <c r="G31" s="1118">
        <f t="shared" si="20"/>
        <v>2213</v>
      </c>
      <c r="H31" s="1117">
        <f t="shared" si="20"/>
        <v>0</v>
      </c>
      <c r="I31" s="1119">
        <f t="shared" si="20"/>
        <v>0</v>
      </c>
      <c r="J31" s="1119">
        <f t="shared" si="20"/>
        <v>0</v>
      </c>
      <c r="K31" s="1180">
        <f t="shared" si="20"/>
        <v>0</v>
      </c>
      <c r="L31" s="1119">
        <f t="shared" si="20"/>
        <v>1558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5087</v>
      </c>
      <c r="X31" s="1118">
        <f t="shared" si="21"/>
        <v>1113</v>
      </c>
      <c r="Y31" s="1125">
        <f t="shared" si="21"/>
        <v>6200</v>
      </c>
      <c r="Z31" s="1125">
        <f t="shared" si="21"/>
        <v>0</v>
      </c>
      <c r="AA31" s="1125">
        <f t="shared" si="21"/>
        <v>2083</v>
      </c>
      <c r="AB31" s="1125">
        <f t="shared" si="21"/>
        <v>6281</v>
      </c>
      <c r="AC31" s="1125">
        <f t="shared" si="21"/>
        <v>2460</v>
      </c>
      <c r="AD31" s="1125">
        <f t="shared" si="21"/>
        <v>0</v>
      </c>
      <c r="AE31" s="1127">
        <f t="shared" si="21"/>
        <v>0</v>
      </c>
      <c r="AF31" s="1128">
        <f t="shared" si="21"/>
        <v>0</v>
      </c>
      <c r="AG31" s="1129">
        <f t="shared" si="21"/>
        <v>0</v>
      </c>
      <c r="AH31" s="1127">
        <f t="shared" si="21"/>
        <v>0</v>
      </c>
      <c r="AI31" s="1117">
        <f t="shared" si="21"/>
        <v>2561</v>
      </c>
      <c r="AJ31" s="1117">
        <f t="shared" si="21"/>
        <v>0</v>
      </c>
      <c r="AK31" s="1127">
        <f t="shared" si="21"/>
        <v>0</v>
      </c>
      <c r="AL31" s="1183">
        <f>IF(ISNUMBER(NºAsuntos!G31/NºAsuntos!E31),NºAsuntos!G31/NºAsuntos!E31," - ")</f>
        <v>1.0215353197809338</v>
      </c>
      <c r="AM31" s="1184">
        <f>IF(ISNUMBER(((NºAsuntos!I31/NºAsuntos!G31)*11)/factor_trimestre),((NºAsuntos!I31/NºAsuntos!G31)*11)/factor_trimestre," - ")</f>
        <v>6.072239890958655</v>
      </c>
      <c r="AN31" s="1184">
        <f>IF(ISNUMBER('Resol  Asuntos'!D31/NºAsuntos!G31),'Resol  Asuntos'!D31/NºAsuntos!G31," - ")</f>
        <v>0.23271240345297592</v>
      </c>
      <c r="AO31" s="1185">
        <f>IF(ISNUMBER((NºAsuntos!C31+NºAsuntos!E31)/NºAsuntos!G31),(NºAsuntos!C31+NºAsuntos!E31)/NºAsuntos!G31," - ")</f>
        <v>1.5358473421172194</v>
      </c>
      <c r="AP31" s="1186" t="str">
        <f t="shared" si="2"/>
        <v xml:space="preserve"> - </v>
      </c>
      <c r="AQ31" s="1187">
        <f>IF(OR(ISNUMBER(FIND("01",Criterios!A8,1)),ISNUMBER(FIND("02",Criterios!A8,1)),ISNUMBER(FIND("03",Criterios!A8,1)),ISNUMBER(FIND("04",Criterios!A8,1))),(I31-W31+K31)/(F31-K31),(H31-W31+K31)/(F31-K31))</f>
        <v>-2.4258464473056747</v>
      </c>
      <c r="AR31" s="1188">
        <f>IF(ISNUMBER((Datos!P31-Datos!Q31)/(Datos!R31-Datos!P31+Datos!Q31)),(Datos!P31-Datos!Q31)/(Datos!R31-Datos!P31+Datos!Q31)," - ")</f>
        <v>7.6250856751199456E-2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632.28571428571433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1061.2713130957607</v>
      </c>
      <c r="G33" s="277">
        <f>IF(ISNUMBER(STDEV(G8:G30)),STDEV(G8:G30),"-")</f>
        <v>1012.6162014448374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2292.245904285639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659.45968142758466</v>
      </c>
      <c r="AJ33" s="276">
        <f t="shared" si="25"/>
        <v>0</v>
      </c>
      <c r="AK33" s="278">
        <f t="shared" si="25"/>
        <v>0</v>
      </c>
      <c r="AL33" s="273">
        <f t="shared" si="25"/>
        <v>7.5749391469568467E-2</v>
      </c>
      <c r="AM33" s="274">
        <f t="shared" si="25"/>
        <v>2.5003016790863168</v>
      </c>
      <c r="AN33" s="274">
        <f t="shared" si="25"/>
        <v>0.12738644241450278</v>
      </c>
      <c r="AO33" s="275">
        <f t="shared" si="25"/>
        <v>0.22097829426736196</v>
      </c>
      <c r="AP33" s="317" t="str">
        <f t="shared" si="25"/>
        <v>-</v>
      </c>
      <c r="AQ33" s="318">
        <f t="shared" si="25"/>
        <v>0.86829666160409846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OKNRoJBJDonUhjRy6DO7iDWUxvgJhSZgQ97nIjjivv3puP1EBrTiLFTFRItKKzo5EwIA/m0vSXvAqQxUOM/vfg==" saltValue="EOKHwNoTDq8GfOiDpk1x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CHICLANA DE LA FRONTERA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-0.47169811320754718</v>
      </c>
      <c r="E10" s="393">
        <f>IF(ISNUMBER((Datos!J10-Datos!T10)/Datos!T10),(Datos!J10-Datos!T10)/Datos!T10," - ")</f>
        <v>0.57894736842105265</v>
      </c>
      <c r="F10" s="393">
        <f>IF(ISNUMBER((Datos!K10-Datos!U10)/Datos!U10),(Datos!K10-Datos!U10)/Datos!U10," - ")</f>
        <v>0.30769230769230771</v>
      </c>
      <c r="G10" s="394">
        <f>IF(ISNUMBER((Datos!L10-Datos!V10)/Datos!V10),(Datos!L10-Datos!V10)/Datos!V10," - ")</f>
        <v>-0.14285714285714285</v>
      </c>
      <c r="H10" s="244">
        <f>IF(ISNUMBER((Datos!M10-Datos!W10)/Datos!W10),(Datos!M10-Datos!W10)/Datos!W10," - ")</f>
        <v>-0.28000000000000003</v>
      </c>
      <c r="I10" s="395">
        <f>IF(ISNUMBER((Tasas!C10-Datos!BE10)/Datos!BE10),(Tasas!C10-Datos!BE10)/Datos!BE10," - ")</f>
        <v>-0.34453781512605036</v>
      </c>
      <c r="J10" s="394">
        <f>IF(ISNUMBER((Tasas!D10-Datos!BF10)/Datos!BF10),(Tasas!D10-Datos!BF10)/Datos!BF10," - ")</f>
        <v>-0.44941176470588234</v>
      </c>
      <c r="K10" s="396">
        <f>IF(ISNUMBER((Tasas!E10-Datos!BG10)/Datos!BG10),(Tasas!E10-Datos!BG10)/Datos!BG10," - ")</f>
        <v>-0.38398692810457519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3.7622272385252069E-3</v>
      </c>
      <c r="I12" s="395">
        <f>IF(ISNUMBER((Tasas!C12-Datos!BE12)/Datos!BE12),(Tasas!C12-Datos!BE12)/Datos!BE12," - ")</f>
        <v>5.2652854244646129E-2</v>
      </c>
      <c r="J12" s="394">
        <f>IF(ISNUMBER((Tasas!D12-Datos!BF12)/Datos!BF12),(Tasas!D12-Datos!BF12)/Datos!BF12," - ")</f>
        <v>-0.25297998898906898</v>
      </c>
      <c r="K12" s="396">
        <f>IF(ISNUMBER((Tasas!E12-Datos!BG12)/Datos!BG12),(Tasas!E12-Datos!BG12)/Datos!BG12," - ")</f>
        <v>4.4271240829979901E-2</v>
      </c>
      <c r="M12" t="e">
        <f>IF(Monitorios="SI",Datos!CE12,0)</f>
        <v>#REF!</v>
      </c>
      <c r="N12" t="e">
        <f>IF(Monitorios="SI",Datos!CF12,0)</f>
        <v>#REF!</v>
      </c>
      <c r="O12" t="e">
        <f>IF(Monitorios="SI",Datos!CG12,0)</f>
        <v>#REF!</v>
      </c>
      <c r="P12" t="e">
        <f>IF(Monitorios="SI",Datos!CH12,0)</f>
        <v>#REF!</v>
      </c>
      <c r="Q12">
        <f>IF(J_V="SI",0,Datos!AG12)</f>
        <v>66</v>
      </c>
      <c r="R12">
        <f>IF(J_V="SI",0,Datos!AH12)</f>
        <v>537</v>
      </c>
      <c r="S12">
        <f>IF(J_V="SI",0,Datos!AI12)</f>
        <v>556</v>
      </c>
      <c r="T12">
        <f>IF(J_V="SI",0,Datos!AJ12)</f>
        <v>47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-1.4771048744460858E-3</v>
      </c>
      <c r="I14" s="402">
        <f>IF(ISNUMBER((Tasas!C14-Datos!BE14)/Datos!BE14),(Tasas!C14-Datos!BE14)/Datos!BE14," - ")</f>
        <v>4.9904987022617704E-2</v>
      </c>
      <c r="J14" s="400">
        <f>IF(ISNUMBER((Tasas!D14-Datos!BF14)/Datos!BF14),(Tasas!D14-Datos!BF14)/Datos!BF14," - ")</f>
        <v>-0.254134376959676</v>
      </c>
      <c r="K14" s="403">
        <f>IF(ISNUMBER((Tasas!E14-Datos!BG14)/Datos!BG14),(Tasas!E14-Datos!BG14)/Datos!BG14," - ")</f>
        <v>4.1153219864060238E-2</v>
      </c>
      <c r="M14" t="e">
        <f>IF(Monitorios="SI",Datos!CE14,0)</f>
        <v>#REF!</v>
      </c>
      <c r="N14" t="e">
        <f>IF(Monitorios="SI",Datos!CF14,0)</f>
        <v>#REF!</v>
      </c>
      <c r="O14" t="e">
        <f>IF(Monitorios="SI",Datos!CG14,0)</f>
        <v>#REF!</v>
      </c>
      <c r="P14" t="e">
        <f>IF(Monitorios="SI",Datos!CH14,0)</f>
        <v>#REF!</v>
      </c>
      <c r="Q14">
        <f>IF(J_V="SI",0,Datos!AG14)</f>
        <v>66</v>
      </c>
      <c r="R14">
        <f>IF(J_V="SI",0,Datos!AH14)</f>
        <v>537</v>
      </c>
      <c r="S14">
        <f>IF(J_V="SI",0,Datos!AI14)</f>
        <v>556</v>
      </c>
      <c r="T14">
        <f>IF(J_V="SI",0,Datos!AJ14)</f>
        <v>47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-9.6230598669623066E-2</v>
      </c>
      <c r="E17" s="393">
        <f>IF(ISNUMBER(
   IF(D_I="SI",(Datos!J17-Datos!T17)/Datos!T17,(Datos!J17+Datos!AD17-(Datos!T17+Datos!AL17))/(Datos!T17+Datos!AL17))
     ),IF(D_I="SI",(Datos!J17-Datos!T17)/Datos!T17,(Datos!J17+Datos!AD17-(Datos!T17+Datos!AL17))/(Datos!T17+Datos!AL17))," - ")</f>
        <v>9.6234309623430964E-2</v>
      </c>
      <c r="F17" s="393">
        <f>IF(ISNUMBER(
   IF(D_I="SI",(Datos!K17-Datos!U17)/Datos!U17,(Datos!K17+Datos!AE17-(Datos!U17+Datos!AM17))/(Datos!U17+Datos!AM17))
     ),IF(D_I="SI",(Datos!K17-Datos!U17)/Datos!U17,(Datos!K17+Datos!AE17-(Datos!U17+Datos!AM17))/(Datos!U17+Datos!AM17))," - ")</f>
        <v>3.99632521819017E-2</v>
      </c>
      <c r="G17" s="394">
        <f>IF(ISNUMBER(
   IF(D_I="SI",(Datos!L17-Datos!V17)/Datos!V17,(Datos!L17+Datos!AF17-(Datos!V17+Datos!AN17))/(Datos!V17+Datos!AN17))
     ),IF(D_I="SI",(Datos!L17-Datos!V17)/Datos!V17,(Datos!L17+Datos!AF17-(Datos!V17+Datos!AN17))/(Datos!V17+Datos!AN17))," - ")</f>
        <v>-2.1099116781157997E-2</v>
      </c>
      <c r="H17" s="244">
        <f>IF(ISNUMBER((Datos!M17-Datos!W17)/Datos!W17),(Datos!M17-Datos!W17)/Datos!W17," - ")</f>
        <v>0.19358288770053475</v>
      </c>
      <c r="I17" s="395">
        <f>IF(ISNUMBER((Tasas!C17-Datos!BE17)/Datos!BE17),(Tasas!C17-Datos!BE17)/Datos!BE17," - ")</f>
        <v>-5.8715891003790148E-2</v>
      </c>
      <c r="J17" s="394">
        <f>IF(ISNUMBER((Tasas!D17-Datos!BF17)/Datos!BF17),(Tasas!D17-Datos!BF17)/Datos!BF17," - ")</f>
        <v>0.14771640747529335</v>
      </c>
      <c r="K17" s="396">
        <f>IF(ISNUMBER((Tasas!E17-Datos!BG17)/Datos!BG17),(Tasas!E17-Datos!BG17)/Datos!BG17," - ")</f>
        <v>-1.1945509884261395E-2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-0.42578125</v>
      </c>
      <c r="E18" s="393">
        <f>IF(ISNUMBER(
   IF(D_I="SI",(Datos!J18-Datos!T18)/Datos!T18,(Datos!J18+Datos!AD18-(Datos!T18+Datos!AL18))/(Datos!T18+Datos!AL18))
     ),IF(D_I="SI",(Datos!J18-Datos!T18)/Datos!T18,(Datos!J18+Datos!AD18-(Datos!T18+Datos!AL18))/(Datos!T18+Datos!AL18))," - ")</f>
        <v>0.11616161616161616</v>
      </c>
      <c r="F18" s="393">
        <f>IF(ISNUMBER(
   IF(D_I="SI",(Datos!K18-Datos!U18)/Datos!U18,(Datos!K18+Datos!AE18-(Datos!U18+Datos!AM18))/(Datos!U18+Datos!AM18))
     ),IF(D_I="SI",(Datos!K18-Datos!U18)/Datos!U18,(Datos!K18+Datos!AE18-(Datos!U18+Datos!AM18))/(Datos!U18+Datos!AM18))," - ")</f>
        <v>0.45833333333333331</v>
      </c>
      <c r="G18" s="394">
        <f>IF(ISNUMBER(
   IF(D_I="SI",(Datos!L18-Datos!V18)/Datos!V18,(Datos!L18+Datos!AF18-(Datos!V18+Datos!AN18))/(Datos!V18+Datos!AN18))
     ),IF(D_I="SI",(Datos!L18-Datos!V18)/Datos!V18,(Datos!L18+Datos!AF18-(Datos!V18+Datos!AN18))/(Datos!V18+Datos!AN18))," - ")</f>
        <v>-0.56462585034013602</v>
      </c>
      <c r="H18" s="244">
        <f>IF(ISNUMBER((Datos!M18-Datos!W18)/Datos!W18),(Datos!M18-Datos!W18)/Datos!W18," - ")</f>
        <v>0.55000000000000004</v>
      </c>
      <c r="I18" s="395">
        <f>IF(ISNUMBER((Tasas!C18-Datos!BE18)/Datos!BE18),(Tasas!C18-Datos!BE18)/Datos!BE18," - ")</f>
        <v>-0.70145772594752187</v>
      </c>
      <c r="J18" s="394">
        <f>IF(ISNUMBER((Tasas!D18-Datos!BF18)/Datos!BF18),(Tasas!D18-Datos!BF18)/Datos!BF18," - ")</f>
        <v>6.2857142857142834E-2</v>
      </c>
      <c r="K18" s="396">
        <f>IF(ISNUMBER((Tasas!E18-Datos!BG18)/Datos!BG18),(Tasas!E18-Datos!BG18)/Datos!BG18," - ")</f>
        <v>-0.38054338299737067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-0.12982875348466746</v>
      </c>
      <c r="E23" s="399">
        <f>IF(ISNUMBER(
   IF(D_I="SI",(Datos!J23-Datos!T23)/Datos!T23,(Datos!J23+Datos!AD23-(Datos!T23+Datos!AL23))/(Datos!T23+Datos!AL23))
     ),IF(D_I="SI",(Datos!J23-Datos!T23)/Datos!T23,(Datos!J23+Datos!AD23-(Datos!T23+Datos!AL23))/(Datos!T23+Datos!AL23))," - ")</f>
        <v>9.8004036779546985E-2</v>
      </c>
      <c r="F23" s="399">
        <f>IF(ISNUMBER(
   IF(D_I="SI",(Datos!K23-Datos!U23)/Datos!U23,(Datos!K23+Datos!AE23-(Datos!U23+Datos!AM23))/(Datos!U23+Datos!AM23))
     ),IF(D_I="SI",(Datos!K23-Datos!U23)/Datos!U23,(Datos!K23+Datos!AE23-(Datos!U23+Datos!AM23))/(Datos!U23+Datos!AM23))," - ")</f>
        <v>7.1913449299957577E-2</v>
      </c>
      <c r="G23" s="400">
        <f>IF(ISNUMBER(
   IF(D_I="SI",(Datos!L23-Datos!V23)/Datos!V23,(Datos!L23+Datos!AF23-(Datos!V23+Datos!AN23))/(Datos!V23+Datos!AN23))
     ),IF(D_I="SI",(Datos!L23-Datos!V23)/Datos!V23,(Datos!L23+Datos!AF23-(Datos!V23+Datos!AN23))/(Datos!V23+Datos!AN23))," - ")</f>
        <v>-5.7665903890160186E-2</v>
      </c>
      <c r="H23" s="401">
        <f>IF(ISNUMBER((Datos!M23-Datos!W23)/Datos!W23),(Datos!M23-Datos!W23)/Datos!W23," - ")</f>
        <v>0.2150753768844221</v>
      </c>
      <c r="I23" s="402">
        <f>IF(ISNUMBER((Tasas!C23-Datos!BE23)/Datos!BE23),(Tasas!C23-Datos!BE23)/Datos!BE23," - ")</f>
        <v>-0.12088602235072529</v>
      </c>
      <c r="J23" s="400">
        <f>IF(ISNUMBER((Tasas!D23-Datos!BF23)/Datos!BF23),(Tasas!D23-Datos!BF23)/Datos!BF23," - ")</f>
        <v>0.13355735733884147</v>
      </c>
      <c r="K23" s="403">
        <f>IF(ISNUMBER((Tasas!E23-Datos!BG23)/Datos!BG23),(Tasas!E23-Datos!BG23)/Datos!BG23," - ")</f>
        <v>-5.2231880091120106E-2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-7.7791152572976224E-2</v>
      </c>
      <c r="E31" s="409">
        <f>IF(ISNUMBER(
   IF(J_V="SI",(Datos!J31-Datos!T31)/Datos!T31,(Datos!J31+Datos!Z31-(Datos!T31+Datos!AH31))/(Datos!T31+Datos!AH31))
     ),IF(J_V="SI",(Datos!J31-Datos!T31)/Datos!T31,(Datos!J31+Datos!Z31-(Datos!T31+Datos!AH31))/(Datos!T31+Datos!AH31))," - ")</f>
        <v>7.1940298507462683E-2</v>
      </c>
      <c r="F31" s="409">
        <f>IF(ISNUMBER(
   IF(J_V="SI",(Datos!K31-Datos!U31)/Datos!U31,(Datos!K31+Datos!AA31-(Datos!U31+Datos!AI31))/(Datos!U31+Datos!AI31))
     ),IF(J_V="SI",(Datos!K31-Datos!U31)/Datos!U31,(Datos!K31+Datos!AA31-(Datos!U31+Datos!AI31))/(Datos!U31+Datos!AI31))," - ")</f>
        <v>1.4192240346511842E-2</v>
      </c>
      <c r="G31" s="410">
        <f>IF(ISNUMBER(
   IF(J_V="SI",(Datos!L31-Datos!V31)/Datos!V31,(Datos!L31+Datos!AB31-(Datos!V31+Datos!AJ31))/(Datos!V31+Datos!AJ31))
     ),IF(J_V="SI",(Datos!L31-Datos!V31)/Datos!V31,(Datos!L31+Datos!AB31-(Datos!V31+Datos!AJ31))/(Datos!V31+Datos!AJ31))," - ")</f>
        <v>-8.8105726872246704E-3</v>
      </c>
      <c r="H31" s="411">
        <f>IF(ISNUMBER((Datos!M31-Datos!W31)/Datos!W31),(Datos!M31-Datos!W31)/Datos!W31," - ")</f>
        <v>9.0251170710940826E-2</v>
      </c>
      <c r="I31" s="408">
        <f>IF(ISNUMBER((Tasas!C31-Datos!BE31)/Datos!BE31),(Tasas!C31-Datos!BE31)/Datos!BE31," - ")</f>
        <v>-2.2680919966294968E-2</v>
      </c>
      <c r="J31" s="409">
        <f>IF(ISNUMBER((Tasas!D31-Datos!BF31)/Datos!BF31),(Tasas!D31-Datos!BF31)/Datos!BF31," - ")</f>
        <v>-0.11830925633092118</v>
      </c>
      <c r="K31" s="410">
        <f>IF(ISNUMBER((Tasas!E31-Datos!BG31)/Datos!BG31),(Tasas!E31-Datos!BG31)/Datos!BG31," - ")</f>
        <v>-1.828012139797123E-3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0.19520912288926365</v>
      </c>
      <c r="E33" s="303">
        <f t="shared" si="1"/>
        <v>0.23791086654592764</v>
      </c>
      <c r="F33" s="303">
        <f t="shared" si="1"/>
        <v>0.1990263597513279</v>
      </c>
      <c r="G33" s="304">
        <f t="shared" si="1"/>
        <v>0.25062226458022674</v>
      </c>
      <c r="H33" s="310">
        <f t="shared" si="1"/>
        <v>0.27834059674199679</v>
      </c>
      <c r="I33" s="302">
        <f t="shared" si="1"/>
        <v>0.29115977364139795</v>
      </c>
      <c r="J33" s="303">
        <f t="shared" si="1"/>
        <v>0.24966303861822034</v>
      </c>
      <c r="K33" s="304">
        <f t="shared" si="1"/>
        <v>0.20332500723384339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N4ldsoDaSWfQSn3FXPTLVc42+byaregtErkYl8TJ6nsXRw/Qbj5Vz+/RI+QW5F+QLVbVbZkU7LEJL1Pn8zcvg==" saltValue="yMwcBBA9zwst6pr0oD3tn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